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8_{7BA8D864-8C49-4082-927F-ABFF53052D07}" xr6:coauthVersionLast="47" xr6:coauthVersionMax="47" xr10:uidLastSave="{00000000-0000-0000-0000-000000000000}"/>
  <bookViews>
    <workbookView xWindow="-120" yWindow="-120" windowWidth="29040" windowHeight="15840" tabRatio="512" activeTab="2" xr2:uid="{00000000-000D-0000-FFFF-FFFF00000000}"/>
  </bookViews>
  <sheets>
    <sheet name="Summary" sheetId="2" r:id="rId1"/>
    <sheet name="Concrete" sheetId="1" r:id="rId2"/>
    <sheet name="Site work" sheetId="3" r:id="rId3"/>
  </sheets>
  <definedNames>
    <definedName name="_xlnm.Print_Area" localSheetId="1">Concrete!$B$2:$L$308</definedName>
    <definedName name="_xlnm.Print_Area" localSheetId="2">'Site work'!$B$2:$L$338</definedName>
    <definedName name="_xlnm.Print_Area" localSheetId="0">Summary!$B$2:$G$37</definedName>
    <definedName name="_xlnm.Print_Titles" localSheetId="1">Concrete!$2:$19</definedName>
    <definedName name="_xlnm.Print_Titles" localSheetId="2">'Site work'!$2:$19</definedName>
    <definedName name="_xlnm.Print_Titles" localSheetId="0">Summary!$2:$16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3" i="3" l="1"/>
  <c r="H333" i="3" s="1"/>
  <c r="F225" i="3"/>
  <c r="F224" i="3"/>
  <c r="H224" i="3" s="1"/>
  <c r="F223" i="3"/>
  <c r="H223" i="3" s="1"/>
  <c r="F222" i="3"/>
  <c r="F239" i="3"/>
  <c r="F238" i="3"/>
  <c r="F237" i="3"/>
  <c r="F236" i="3"/>
  <c r="F232" i="3"/>
  <c r="H232" i="3" s="1"/>
  <c r="F231" i="3"/>
  <c r="J231" i="3" s="1"/>
  <c r="F230" i="3"/>
  <c r="J230" i="3" s="1"/>
  <c r="F229" i="3"/>
  <c r="J234" i="3"/>
  <c r="H234" i="3"/>
  <c r="K234" i="3" s="1"/>
  <c r="B234" i="3"/>
  <c r="F233" i="3"/>
  <c r="H230" i="3"/>
  <c r="J228" i="3"/>
  <c r="H228" i="3"/>
  <c r="B228" i="3"/>
  <c r="J227" i="3"/>
  <c r="H227" i="3"/>
  <c r="B227" i="3"/>
  <c r="F226" i="3"/>
  <c r="J224" i="3"/>
  <c r="J223" i="3"/>
  <c r="J221" i="3"/>
  <c r="H221" i="3"/>
  <c r="B221" i="3"/>
  <c r="B337" i="3"/>
  <c r="F336" i="3"/>
  <c r="J334" i="3"/>
  <c r="H334" i="3"/>
  <c r="B334" i="3"/>
  <c r="J332" i="3"/>
  <c r="H332" i="3"/>
  <c r="B332" i="3"/>
  <c r="D34" i="2"/>
  <c r="C34" i="2"/>
  <c r="J329" i="3"/>
  <c r="H329" i="3"/>
  <c r="B329" i="3"/>
  <c r="J328" i="3"/>
  <c r="H328" i="3"/>
  <c r="J327" i="3"/>
  <c r="H327" i="3"/>
  <c r="B327" i="3"/>
  <c r="J326" i="3"/>
  <c r="H326" i="3"/>
  <c r="B326" i="3"/>
  <c r="B325" i="3"/>
  <c r="J209" i="3"/>
  <c r="H209" i="3"/>
  <c r="J234" i="1"/>
  <c r="H234" i="1"/>
  <c r="K227" i="3" l="1"/>
  <c r="K223" i="3"/>
  <c r="K228" i="3"/>
  <c r="H231" i="3"/>
  <c r="K231" i="3" s="1"/>
  <c r="K230" i="3"/>
  <c r="H225" i="3"/>
  <c r="H229" i="3"/>
  <c r="J232" i="3"/>
  <c r="K232" i="3" s="1"/>
  <c r="H233" i="3"/>
  <c r="K224" i="3"/>
  <c r="J229" i="3"/>
  <c r="J233" i="3"/>
  <c r="K221" i="3"/>
  <c r="H222" i="3"/>
  <c r="J225" i="3"/>
  <c r="K225" i="3" s="1"/>
  <c r="H226" i="3"/>
  <c r="J222" i="3"/>
  <c r="J226" i="3"/>
  <c r="K334" i="3"/>
  <c r="J336" i="3"/>
  <c r="H336" i="3"/>
  <c r="K327" i="3"/>
  <c r="J333" i="3"/>
  <c r="K333" i="3" s="1"/>
  <c r="K332" i="3"/>
  <c r="I325" i="3"/>
  <c r="J325" i="3" s="1"/>
  <c r="K328" i="3"/>
  <c r="K326" i="3"/>
  <c r="K329" i="3"/>
  <c r="G325" i="3"/>
  <c r="K209" i="3"/>
  <c r="K234" i="1"/>
  <c r="J209" i="1"/>
  <c r="H209" i="1"/>
  <c r="J208" i="1"/>
  <c r="H208" i="1"/>
  <c r="K208" i="1" s="1"/>
  <c r="J205" i="1"/>
  <c r="H205" i="1"/>
  <c r="K205" i="1" s="1"/>
  <c r="J203" i="1"/>
  <c r="H203" i="1"/>
  <c r="J202" i="1"/>
  <c r="H202" i="1"/>
  <c r="K202" i="1" s="1"/>
  <c r="J201" i="1"/>
  <c r="H201" i="1"/>
  <c r="K201" i="1" s="1"/>
  <c r="J200" i="1"/>
  <c r="H200" i="1"/>
  <c r="J120" i="1"/>
  <c r="H120" i="1"/>
  <c r="K226" i="3" l="1"/>
  <c r="K229" i="3"/>
  <c r="K233" i="3"/>
  <c r="K222" i="3"/>
  <c r="K336" i="3"/>
  <c r="K325" i="3"/>
  <c r="H325" i="3"/>
  <c r="K200" i="1"/>
  <c r="K209" i="1"/>
  <c r="K203" i="1"/>
  <c r="K120" i="1"/>
  <c r="B212" i="3"/>
  <c r="B213" i="3"/>
  <c r="F216" i="3"/>
  <c r="F215" i="3"/>
  <c r="F214" i="3"/>
  <c r="F211" i="3"/>
  <c r="F199" i="3"/>
  <c r="F210" i="3"/>
  <c r="B208" i="3"/>
  <c r="B207" i="3"/>
  <c r="J205" i="3"/>
  <c r="H205" i="3"/>
  <c r="B205" i="3"/>
  <c r="J204" i="3"/>
  <c r="H204" i="3"/>
  <c r="J203" i="3"/>
  <c r="H203" i="3"/>
  <c r="J202" i="3"/>
  <c r="H202" i="3"/>
  <c r="J201" i="3"/>
  <c r="H201" i="3"/>
  <c r="B201" i="3"/>
  <c r="B206" i="1"/>
  <c r="B207" i="1"/>
  <c r="B210" i="1"/>
  <c r="B211" i="1"/>
  <c r="B217" i="1"/>
  <c r="B218" i="1"/>
  <c r="B226" i="1"/>
  <c r="B227" i="1"/>
  <c r="B232" i="1"/>
  <c r="B233" i="1"/>
  <c r="B235" i="1"/>
  <c r="B236" i="1"/>
  <c r="B240" i="1"/>
  <c r="B241" i="1"/>
  <c r="B243" i="1"/>
  <c r="F242" i="1"/>
  <c r="F239" i="1"/>
  <c r="F238" i="1"/>
  <c r="F237" i="1"/>
  <c r="F231" i="1"/>
  <c r="F230" i="1"/>
  <c r="F229" i="1"/>
  <c r="F228" i="1"/>
  <c r="F225" i="1"/>
  <c r="F224" i="1"/>
  <c r="F223" i="1"/>
  <c r="F222" i="1"/>
  <c r="F221" i="1"/>
  <c r="F220" i="1"/>
  <c r="F219" i="1"/>
  <c r="F216" i="1"/>
  <c r="F215" i="1"/>
  <c r="F214" i="1"/>
  <c r="F213" i="1"/>
  <c r="F212" i="1"/>
  <c r="F204" i="1"/>
  <c r="B199" i="1"/>
  <c r="B198" i="1"/>
  <c r="J197" i="1"/>
  <c r="H197" i="1"/>
  <c r="B197" i="1"/>
  <c r="F153" i="1"/>
  <c r="K202" i="3" l="1"/>
  <c r="K204" i="3"/>
  <c r="H210" i="3"/>
  <c r="J210" i="3"/>
  <c r="J211" i="3"/>
  <c r="H211" i="3"/>
  <c r="J214" i="3"/>
  <c r="H214" i="3"/>
  <c r="J216" i="3"/>
  <c r="H216" i="3"/>
  <c r="F217" i="3"/>
  <c r="K205" i="3"/>
  <c r="J215" i="3"/>
  <c r="H215" i="3"/>
  <c r="K215" i="3" s="1"/>
  <c r="H220" i="1"/>
  <c r="J220" i="1"/>
  <c r="H239" i="1"/>
  <c r="J239" i="1"/>
  <c r="K239" i="1" s="1"/>
  <c r="H204" i="1"/>
  <c r="J204" i="1"/>
  <c r="J215" i="1"/>
  <c r="H215" i="1"/>
  <c r="K215" i="1" s="1"/>
  <c r="J221" i="1"/>
  <c r="H221" i="1"/>
  <c r="H225" i="1"/>
  <c r="J225" i="1"/>
  <c r="J231" i="1"/>
  <c r="H231" i="1"/>
  <c r="J242" i="1"/>
  <c r="H242" i="1"/>
  <c r="K242" i="1" s="1"/>
  <c r="J230" i="1"/>
  <c r="H230" i="1"/>
  <c r="J212" i="1"/>
  <c r="H212" i="1"/>
  <c r="K212" i="1" s="1"/>
  <c r="H216" i="1"/>
  <c r="J216" i="1"/>
  <c r="H222" i="1"/>
  <c r="J222" i="1"/>
  <c r="K222" i="1" s="1"/>
  <c r="J228" i="1"/>
  <c r="H228" i="1"/>
  <c r="J237" i="1"/>
  <c r="H237" i="1"/>
  <c r="K237" i="1" s="1"/>
  <c r="H214" i="1"/>
  <c r="J214" i="1"/>
  <c r="J224" i="1"/>
  <c r="H224" i="1"/>
  <c r="K224" i="1" s="1"/>
  <c r="H213" i="1"/>
  <c r="J213" i="1"/>
  <c r="J219" i="1"/>
  <c r="H219" i="1"/>
  <c r="K219" i="1" s="1"/>
  <c r="J223" i="1"/>
  <c r="H223" i="1"/>
  <c r="H229" i="1"/>
  <c r="J229" i="1"/>
  <c r="J238" i="1"/>
  <c r="H238" i="1"/>
  <c r="K201" i="3"/>
  <c r="K203" i="3"/>
  <c r="K197" i="1"/>
  <c r="F56" i="3"/>
  <c r="F54" i="3"/>
  <c r="F298" i="3"/>
  <c r="F300" i="3"/>
  <c r="F301" i="3" s="1"/>
  <c r="F137" i="1"/>
  <c r="F143" i="1"/>
  <c r="F140" i="1"/>
  <c r="F129" i="1"/>
  <c r="F302" i="1"/>
  <c r="F304" i="1"/>
  <c r="F126" i="1"/>
  <c r="F125" i="1"/>
  <c r="F124" i="1"/>
  <c r="F123" i="1"/>
  <c r="F122" i="1"/>
  <c r="F121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314" i="3"/>
  <c r="F312" i="3"/>
  <c r="F307" i="1"/>
  <c r="F299" i="1"/>
  <c r="F303" i="1"/>
  <c r="B298" i="1"/>
  <c r="H298" i="1"/>
  <c r="J298" i="1"/>
  <c r="J97" i="1"/>
  <c r="H97" i="1"/>
  <c r="B97" i="1"/>
  <c r="F296" i="1"/>
  <c r="J296" i="1" s="1"/>
  <c r="J295" i="1"/>
  <c r="H295" i="1"/>
  <c r="B295" i="1"/>
  <c r="J294" i="1"/>
  <c r="H294" i="1"/>
  <c r="B294" i="1"/>
  <c r="D32" i="2"/>
  <c r="C32" i="2"/>
  <c r="J316" i="3"/>
  <c r="H316" i="3"/>
  <c r="K316" i="3" s="1"/>
  <c r="B316" i="3"/>
  <c r="J311" i="3"/>
  <c r="H311" i="3"/>
  <c r="B311" i="3"/>
  <c r="J310" i="3"/>
  <c r="H310" i="3"/>
  <c r="B310" i="3"/>
  <c r="B309" i="3"/>
  <c r="D27" i="2"/>
  <c r="C27" i="2"/>
  <c r="F141" i="1"/>
  <c r="F85" i="1"/>
  <c r="J290" i="1"/>
  <c r="H290" i="1"/>
  <c r="B290" i="1"/>
  <c r="F289" i="1"/>
  <c r="F288" i="1"/>
  <c r="J288" i="1" s="1"/>
  <c r="F287" i="1"/>
  <c r="H287" i="1" s="1"/>
  <c r="F286" i="1"/>
  <c r="J286" i="1" s="1"/>
  <c r="J285" i="1"/>
  <c r="H285" i="1"/>
  <c r="B285" i="1"/>
  <c r="J284" i="1"/>
  <c r="H284" i="1"/>
  <c r="B284" i="1"/>
  <c r="F283" i="1"/>
  <c r="F282" i="1"/>
  <c r="J282" i="1" s="1"/>
  <c r="F281" i="1"/>
  <c r="H281" i="1" s="1"/>
  <c r="J280" i="1"/>
  <c r="H280" i="1"/>
  <c r="B280" i="1"/>
  <c r="J279" i="1"/>
  <c r="H279" i="1"/>
  <c r="B279" i="1"/>
  <c r="F278" i="1"/>
  <c r="J278" i="1" s="1"/>
  <c r="F277" i="1"/>
  <c r="F276" i="1"/>
  <c r="J276" i="1" s="1"/>
  <c r="J275" i="1"/>
  <c r="H275" i="1"/>
  <c r="B275" i="1"/>
  <c r="J274" i="1"/>
  <c r="H274" i="1"/>
  <c r="B274" i="1"/>
  <c r="F273" i="1"/>
  <c r="H273" i="1" s="1"/>
  <c r="F272" i="1"/>
  <c r="J272" i="1" s="1"/>
  <c r="F271" i="1"/>
  <c r="F270" i="1"/>
  <c r="J270" i="1" s="1"/>
  <c r="J269" i="1"/>
  <c r="H269" i="1"/>
  <c r="B269" i="1"/>
  <c r="J268" i="1"/>
  <c r="H268" i="1"/>
  <c r="B268" i="1"/>
  <c r="J267" i="1"/>
  <c r="H267" i="1"/>
  <c r="B267" i="1"/>
  <c r="J266" i="1"/>
  <c r="H266" i="1"/>
  <c r="B266" i="1"/>
  <c r="F265" i="1"/>
  <c r="H265" i="1" s="1"/>
  <c r="F264" i="1"/>
  <c r="J264" i="1" s="1"/>
  <c r="J263" i="1"/>
  <c r="H263" i="1"/>
  <c r="B263" i="1"/>
  <c r="J262" i="1"/>
  <c r="H262" i="1"/>
  <c r="B262" i="1"/>
  <c r="F261" i="1"/>
  <c r="J260" i="1"/>
  <c r="H260" i="1"/>
  <c r="B260" i="1"/>
  <c r="J259" i="1"/>
  <c r="H259" i="1"/>
  <c r="B259" i="1"/>
  <c r="F258" i="1"/>
  <c r="J258" i="1" s="1"/>
  <c r="J257" i="1"/>
  <c r="H257" i="1"/>
  <c r="B257" i="1"/>
  <c r="J256" i="1"/>
  <c r="H256" i="1"/>
  <c r="B256" i="1"/>
  <c r="F255" i="1"/>
  <c r="H255" i="1" s="1"/>
  <c r="F254" i="1"/>
  <c r="J254" i="1" s="1"/>
  <c r="J253" i="1"/>
  <c r="H253" i="1"/>
  <c r="B253" i="1"/>
  <c r="J252" i="1"/>
  <c r="H252" i="1"/>
  <c r="B252" i="1"/>
  <c r="F251" i="1"/>
  <c r="J250" i="1"/>
  <c r="H250" i="1"/>
  <c r="B250" i="1"/>
  <c r="J249" i="1"/>
  <c r="H249" i="1"/>
  <c r="B249" i="1"/>
  <c r="B248" i="1"/>
  <c r="B29" i="2"/>
  <c r="B30" i="2"/>
  <c r="D33" i="2"/>
  <c r="C33" i="2"/>
  <c r="J335" i="3"/>
  <c r="H335" i="3"/>
  <c r="B335" i="3"/>
  <c r="J324" i="3"/>
  <c r="H324" i="3"/>
  <c r="B324" i="3"/>
  <c r="J323" i="3"/>
  <c r="H323" i="3"/>
  <c r="J322" i="3"/>
  <c r="H322" i="3"/>
  <c r="B322" i="3"/>
  <c r="J321" i="3"/>
  <c r="H321" i="3"/>
  <c r="B321" i="3"/>
  <c r="J320" i="3"/>
  <c r="H320" i="3"/>
  <c r="J319" i="3"/>
  <c r="H319" i="3"/>
  <c r="B319" i="3"/>
  <c r="J318" i="3"/>
  <c r="H318" i="3"/>
  <c r="B318" i="3"/>
  <c r="B317" i="3"/>
  <c r="H251" i="3"/>
  <c r="J251" i="3"/>
  <c r="F270" i="3"/>
  <c r="F271" i="3" s="1"/>
  <c r="F268" i="3"/>
  <c r="F240" i="3"/>
  <c r="F71" i="3"/>
  <c r="F69" i="3"/>
  <c r="K238" i="1" l="1"/>
  <c r="K223" i="1"/>
  <c r="K228" i="1"/>
  <c r="K230" i="1"/>
  <c r="K231" i="1"/>
  <c r="K221" i="1"/>
  <c r="K216" i="3"/>
  <c r="K214" i="3"/>
  <c r="K211" i="3"/>
  <c r="J217" i="3"/>
  <c r="H217" i="3"/>
  <c r="K210" i="3"/>
  <c r="J100" i="1"/>
  <c r="H100" i="1"/>
  <c r="K100" i="1" s="1"/>
  <c r="J112" i="1"/>
  <c r="H112" i="1"/>
  <c r="K112" i="1" s="1"/>
  <c r="J121" i="1"/>
  <c r="H121" i="1"/>
  <c r="H101" i="1"/>
  <c r="J101" i="1"/>
  <c r="J105" i="1"/>
  <c r="H105" i="1"/>
  <c r="K105" i="1" s="1"/>
  <c r="J109" i="1"/>
  <c r="H109" i="1"/>
  <c r="K109" i="1" s="1"/>
  <c r="H113" i="1"/>
  <c r="J113" i="1"/>
  <c r="H117" i="1"/>
  <c r="J117" i="1"/>
  <c r="H122" i="1"/>
  <c r="J122" i="1"/>
  <c r="J126" i="1"/>
  <c r="H126" i="1"/>
  <c r="K126" i="1" s="1"/>
  <c r="K229" i="1"/>
  <c r="K225" i="1"/>
  <c r="H104" i="1"/>
  <c r="J104" i="1"/>
  <c r="H102" i="1"/>
  <c r="J102" i="1"/>
  <c r="H106" i="1"/>
  <c r="J106" i="1"/>
  <c r="J110" i="1"/>
  <c r="H110" i="1"/>
  <c r="J114" i="1"/>
  <c r="H114" i="1"/>
  <c r="K114" i="1" s="1"/>
  <c r="H118" i="1"/>
  <c r="J118" i="1"/>
  <c r="J123" i="1"/>
  <c r="H123" i="1"/>
  <c r="K123" i="1" s="1"/>
  <c r="H108" i="1"/>
  <c r="J108" i="1"/>
  <c r="J116" i="1"/>
  <c r="H116" i="1"/>
  <c r="K116" i="1" s="1"/>
  <c r="J125" i="1"/>
  <c r="H125" i="1"/>
  <c r="K125" i="1" s="1"/>
  <c r="H99" i="1"/>
  <c r="J99" i="1"/>
  <c r="J103" i="1"/>
  <c r="H103" i="1"/>
  <c r="J107" i="1"/>
  <c r="H107" i="1"/>
  <c r="K107" i="1" s="1"/>
  <c r="H111" i="1"/>
  <c r="J111" i="1"/>
  <c r="J115" i="1"/>
  <c r="H115" i="1"/>
  <c r="K115" i="1" s="1"/>
  <c r="J119" i="1"/>
  <c r="H119" i="1"/>
  <c r="J124" i="1"/>
  <c r="H124" i="1"/>
  <c r="K124" i="1" s="1"/>
  <c r="K213" i="1"/>
  <c r="K214" i="1"/>
  <c r="K216" i="1"/>
  <c r="K204" i="1"/>
  <c r="K220" i="1"/>
  <c r="J314" i="3"/>
  <c r="H314" i="3"/>
  <c r="F299" i="3"/>
  <c r="H312" i="3"/>
  <c r="J312" i="3"/>
  <c r="F315" i="3"/>
  <c r="J299" i="1"/>
  <c r="H299" i="1"/>
  <c r="J304" i="1"/>
  <c r="H304" i="1"/>
  <c r="J307" i="1"/>
  <c r="H307" i="1"/>
  <c r="H302" i="1"/>
  <c r="J302" i="1"/>
  <c r="J303" i="1"/>
  <c r="H303" i="1"/>
  <c r="F313" i="3"/>
  <c r="K298" i="1"/>
  <c r="K97" i="1"/>
  <c r="K294" i="1"/>
  <c r="H296" i="1"/>
  <c r="K296" i="1" s="1"/>
  <c r="K295" i="1"/>
  <c r="K260" i="1"/>
  <c r="K262" i="1"/>
  <c r="J255" i="1"/>
  <c r="K255" i="1" s="1"/>
  <c r="H258" i="1"/>
  <c r="K258" i="1" s="1"/>
  <c r="K268" i="1"/>
  <c r="J273" i="1"/>
  <c r="K273" i="1" s="1"/>
  <c r="H276" i="1"/>
  <c r="K276" i="1" s="1"/>
  <c r="K279" i="1"/>
  <c r="K285" i="1"/>
  <c r="K290" i="1"/>
  <c r="K310" i="3"/>
  <c r="K319" i="3"/>
  <c r="K322" i="3"/>
  <c r="K311" i="3"/>
  <c r="J287" i="1"/>
  <c r="K287" i="1" s="1"/>
  <c r="K249" i="1"/>
  <c r="K257" i="1"/>
  <c r="K266" i="1"/>
  <c r="K275" i="1"/>
  <c r="H288" i="1"/>
  <c r="K288" i="1" s="1"/>
  <c r="K253" i="1"/>
  <c r="K280" i="1"/>
  <c r="K256" i="1"/>
  <c r="K259" i="1"/>
  <c r="K267" i="1"/>
  <c r="H270" i="1"/>
  <c r="K270" i="1" s="1"/>
  <c r="K274" i="1"/>
  <c r="H282" i="1"/>
  <c r="K282" i="1" s="1"/>
  <c r="K284" i="1"/>
  <c r="K250" i="1"/>
  <c r="K252" i="1"/>
  <c r="K263" i="1"/>
  <c r="J265" i="1"/>
  <c r="K265" i="1" s="1"/>
  <c r="K269" i="1"/>
  <c r="J281" i="1"/>
  <c r="K281" i="1" s="1"/>
  <c r="J283" i="1"/>
  <c r="H286" i="1"/>
  <c r="K286" i="1" s="1"/>
  <c r="J289" i="1"/>
  <c r="H251" i="1"/>
  <c r="H261" i="1"/>
  <c r="H271" i="1"/>
  <c r="H277" i="1"/>
  <c r="H283" i="1"/>
  <c r="H289" i="1"/>
  <c r="J251" i="1"/>
  <c r="H254" i="1"/>
  <c r="K254" i="1" s="1"/>
  <c r="J261" i="1"/>
  <c r="H264" i="1"/>
  <c r="K264" i="1" s="1"/>
  <c r="J271" i="1"/>
  <c r="H272" i="1"/>
  <c r="K272" i="1" s="1"/>
  <c r="J277" i="1"/>
  <c r="H278" i="1"/>
  <c r="K278" i="1" s="1"/>
  <c r="I317" i="3"/>
  <c r="J317" i="3" s="1"/>
  <c r="K335" i="3"/>
  <c r="K251" i="3"/>
  <c r="K318" i="3"/>
  <c r="K321" i="3"/>
  <c r="K324" i="3"/>
  <c r="K320" i="3"/>
  <c r="K323" i="3"/>
  <c r="G317" i="3"/>
  <c r="H317" i="3" s="1"/>
  <c r="F269" i="3"/>
  <c r="K217" i="3" l="1"/>
  <c r="K119" i="1"/>
  <c r="K103" i="1"/>
  <c r="K110" i="1"/>
  <c r="K121" i="1"/>
  <c r="K99" i="1"/>
  <c r="K106" i="1"/>
  <c r="K104" i="1"/>
  <c r="K117" i="1"/>
  <c r="K101" i="1"/>
  <c r="K111" i="1"/>
  <c r="K108" i="1"/>
  <c r="K118" i="1"/>
  <c r="K102" i="1"/>
  <c r="K122" i="1"/>
  <c r="K113" i="1"/>
  <c r="K307" i="1"/>
  <c r="K299" i="1"/>
  <c r="K304" i="1"/>
  <c r="K303" i="1"/>
  <c r="J315" i="3"/>
  <c r="H315" i="3"/>
  <c r="K312" i="3"/>
  <c r="J313" i="3"/>
  <c r="H313" i="3"/>
  <c r="K314" i="3"/>
  <c r="K302" i="1"/>
  <c r="K261" i="1"/>
  <c r="I248" i="1"/>
  <c r="K277" i="1"/>
  <c r="K271" i="1"/>
  <c r="K289" i="1"/>
  <c r="K283" i="1"/>
  <c r="K251" i="1"/>
  <c r="G248" i="1"/>
  <c r="K317" i="3"/>
  <c r="B23" i="3"/>
  <c r="B23" i="1"/>
  <c r="J26" i="3"/>
  <c r="J25" i="3"/>
  <c r="J24" i="3"/>
  <c r="J23" i="3"/>
  <c r="J26" i="1"/>
  <c r="H26" i="1"/>
  <c r="J25" i="1"/>
  <c r="H25" i="1"/>
  <c r="J24" i="1"/>
  <c r="H24" i="1"/>
  <c r="J23" i="1"/>
  <c r="H23" i="1"/>
  <c r="K315" i="3" l="1"/>
  <c r="I309" i="3"/>
  <c r="J309" i="3" s="1"/>
  <c r="K313" i="3"/>
  <c r="K248" i="1"/>
  <c r="L248" i="1" s="1"/>
  <c r="G27" i="2" s="1"/>
  <c r="G309" i="3"/>
  <c r="H309" i="3" s="1"/>
  <c r="J248" i="1"/>
  <c r="F27" i="2"/>
  <c r="H248" i="1"/>
  <c r="E27" i="2"/>
  <c r="B24" i="1"/>
  <c r="B24" i="3"/>
  <c r="K23" i="1"/>
  <c r="K24" i="1"/>
  <c r="K25" i="1"/>
  <c r="K26" i="1"/>
  <c r="K309" i="3" l="1"/>
  <c r="B25" i="1"/>
  <c r="B25" i="3"/>
  <c r="H36" i="1"/>
  <c r="H35" i="1"/>
  <c r="H34" i="1"/>
  <c r="H33" i="1"/>
  <c r="H32" i="1"/>
  <c r="H31" i="1"/>
  <c r="H179" i="1"/>
  <c r="H178" i="1"/>
  <c r="H156" i="1"/>
  <c r="H153" i="1"/>
  <c r="H175" i="1"/>
  <c r="H174" i="1"/>
  <c r="H169" i="1"/>
  <c r="H173" i="1"/>
  <c r="H167" i="1"/>
  <c r="H172" i="1"/>
  <c r="H171" i="1"/>
  <c r="H170" i="1"/>
  <c r="H166" i="1"/>
  <c r="H165" i="1"/>
  <c r="H164" i="1"/>
  <c r="B26" i="1" l="1"/>
  <c r="B26" i="3"/>
  <c r="H189" i="1"/>
  <c r="H184" i="1"/>
  <c r="H183" i="1"/>
  <c r="H133" i="1"/>
  <c r="H132" i="1"/>
  <c r="H137" i="1"/>
  <c r="H136" i="1"/>
  <c r="H129" i="1"/>
  <c r="H42" i="1" l="1"/>
  <c r="J303" i="3" l="1"/>
  <c r="H266" i="3"/>
  <c r="K9" i="3"/>
  <c r="K10" i="3"/>
  <c r="K11" i="3"/>
  <c r="K12" i="3"/>
  <c r="K8" i="3"/>
  <c r="J308" i="3"/>
  <c r="J265" i="3"/>
  <c r="J263" i="3"/>
  <c r="J253" i="3"/>
  <c r="J248" i="3"/>
  <c r="J242" i="3"/>
  <c r="J235" i="3"/>
  <c r="J218" i="3"/>
  <c r="J177" i="3"/>
  <c r="J172" i="3"/>
  <c r="J134" i="3"/>
  <c r="H134" i="3"/>
  <c r="J131" i="3"/>
  <c r="J124" i="3"/>
  <c r="J118" i="3"/>
  <c r="J115" i="3"/>
  <c r="H112" i="3"/>
  <c r="J105" i="3"/>
  <c r="J91" i="3"/>
  <c r="H88" i="3"/>
  <c r="J75" i="3"/>
  <c r="J66" i="3"/>
  <c r="J64" i="3"/>
  <c r="H58" i="3"/>
  <c r="H51" i="3"/>
  <c r="J39" i="3"/>
  <c r="H37" i="3"/>
  <c r="J29" i="3"/>
  <c r="L325" i="3" l="1"/>
  <c r="G34" i="2" s="1"/>
  <c r="E34" i="2"/>
  <c r="F34" i="2"/>
  <c r="E32" i="2"/>
  <c r="F32" i="2"/>
  <c r="L309" i="3"/>
  <c r="G32" i="2" s="1"/>
  <c r="E33" i="2"/>
  <c r="F33" i="2"/>
  <c r="L317" i="3"/>
  <c r="G33" i="2" s="1"/>
  <c r="J97" i="3"/>
  <c r="J175" i="3"/>
  <c r="J187" i="3"/>
  <c r="J206" i="3"/>
  <c r="J245" i="3"/>
  <c r="J275" i="3"/>
  <c r="J33" i="3"/>
  <c r="J41" i="3"/>
  <c r="J46" i="3"/>
  <c r="J93" i="3"/>
  <c r="J103" i="3"/>
  <c r="J107" i="3"/>
  <c r="J182" i="3"/>
  <c r="J193" i="3"/>
  <c r="H65" i="3"/>
  <c r="H118" i="3"/>
  <c r="K118" i="3" s="1"/>
  <c r="H141" i="3"/>
  <c r="H166" i="3"/>
  <c r="H27" i="3"/>
  <c r="H72" i="3"/>
  <c r="H85" i="3"/>
  <c r="H96" i="3"/>
  <c r="H122" i="3"/>
  <c r="H177" i="3"/>
  <c r="K177" i="3" s="1"/>
  <c r="H241" i="3"/>
  <c r="H255" i="3"/>
  <c r="H272" i="3"/>
  <c r="H282" i="3"/>
  <c r="H92" i="3"/>
  <c r="H155" i="3"/>
  <c r="H182" i="3"/>
  <c r="H235" i="3"/>
  <c r="K235" i="3" s="1"/>
  <c r="H33" i="3"/>
  <c r="H40" i="3"/>
  <c r="H76" i="3"/>
  <c r="H107" i="3"/>
  <c r="H129" i="3"/>
  <c r="H149" i="3"/>
  <c r="H161" i="3"/>
  <c r="H188" i="3"/>
  <c r="H193" i="3"/>
  <c r="J255" i="3"/>
  <c r="J293" i="3"/>
  <c r="J285" i="3"/>
  <c r="J31" i="3"/>
  <c r="J44" i="3"/>
  <c r="J53" i="3"/>
  <c r="J59" i="3"/>
  <c r="J73" i="3"/>
  <c r="J85" i="3"/>
  <c r="J99" i="3"/>
  <c r="J127" i="3"/>
  <c r="J129" i="3"/>
  <c r="J146" i="3"/>
  <c r="J159" i="3"/>
  <c r="J164" i="3"/>
  <c r="J167" i="3"/>
  <c r="J180" i="3"/>
  <c r="J191" i="3"/>
  <c r="J250" i="3"/>
  <c r="J277" i="3"/>
  <c r="J280" i="3"/>
  <c r="J296" i="3"/>
  <c r="J258" i="3"/>
  <c r="J261" i="3"/>
  <c r="J259" i="3"/>
  <c r="J262" i="3"/>
  <c r="J260" i="3"/>
  <c r="J82" i="3"/>
  <c r="J80" i="3"/>
  <c r="J78" i="3"/>
  <c r="J138" i="3"/>
  <c r="J81" i="3"/>
  <c r="J79" i="3"/>
  <c r="J77" i="3"/>
  <c r="J68" i="3"/>
  <c r="J62" i="3"/>
  <c r="J83" i="3"/>
  <c r="J304" i="3"/>
  <c r="J35" i="3"/>
  <c r="J37" i="3"/>
  <c r="K37" i="3" s="1"/>
  <c r="J49" i="3"/>
  <c r="J51" i="3"/>
  <c r="K51" i="3" s="1"/>
  <c r="J87" i="3"/>
  <c r="J89" i="3"/>
  <c r="J95" i="3"/>
  <c r="J101" i="3"/>
  <c r="J109" i="3"/>
  <c r="J112" i="3"/>
  <c r="K112" i="3" s="1"/>
  <c r="J120" i="3"/>
  <c r="J122" i="3"/>
  <c r="J140" i="3"/>
  <c r="J144" i="3"/>
  <c r="J151" i="3"/>
  <c r="J154" i="3"/>
  <c r="J156" i="3"/>
  <c r="J162" i="3"/>
  <c r="J170" i="3"/>
  <c r="J189" i="3"/>
  <c r="J257" i="3"/>
  <c r="J272" i="3"/>
  <c r="J283" i="3"/>
  <c r="H275" i="3"/>
  <c r="H264" i="3"/>
  <c r="H259" i="3"/>
  <c r="H260" i="3"/>
  <c r="H249" i="3"/>
  <c r="H248" i="3"/>
  <c r="K248" i="3" s="1"/>
  <c r="H101" i="3"/>
  <c r="H99" i="3"/>
  <c r="H98" i="3"/>
  <c r="H276" i="3"/>
  <c r="H258" i="3"/>
  <c r="H192" i="3"/>
  <c r="H133" i="3"/>
  <c r="H131" i="3"/>
  <c r="K131" i="3" s="1"/>
  <c r="H127" i="3"/>
  <c r="H104" i="3"/>
  <c r="H274" i="3"/>
  <c r="H265" i="3"/>
  <c r="K265" i="3" s="1"/>
  <c r="H246" i="3"/>
  <c r="H206" i="3"/>
  <c r="H102" i="3"/>
  <c r="H100" i="3"/>
  <c r="H97" i="3"/>
  <c r="H115" i="3"/>
  <c r="K115" i="3" s="1"/>
  <c r="H285" i="3"/>
  <c r="H277" i="3"/>
  <c r="H263" i="3"/>
  <c r="K263" i="3" s="1"/>
  <c r="H261" i="3"/>
  <c r="H262" i="3"/>
  <c r="H257" i="3"/>
  <c r="H157" i="3"/>
  <c r="H123" i="3"/>
  <c r="H126" i="3"/>
  <c r="H124" i="3"/>
  <c r="K124" i="3" s="1"/>
  <c r="H105" i="3"/>
  <c r="K105" i="3" s="1"/>
  <c r="H103" i="3"/>
  <c r="H120" i="3"/>
  <c r="H79" i="3"/>
  <c r="H181" i="3"/>
  <c r="H175" i="3"/>
  <c r="H167" i="3"/>
  <c r="H168" i="3"/>
  <c r="H142" i="3"/>
  <c r="H138" i="3"/>
  <c r="H108" i="3"/>
  <c r="H80" i="3"/>
  <c r="H44" i="3"/>
  <c r="H35" i="3"/>
  <c r="H32" i="3"/>
  <c r="H86" i="3"/>
  <c r="H247" i="3"/>
  <c r="H244" i="3"/>
  <c r="H198" i="3"/>
  <c r="H189" i="3"/>
  <c r="H180" i="3"/>
  <c r="H178" i="3"/>
  <c r="H174" i="3"/>
  <c r="H170" i="3"/>
  <c r="H172" i="3"/>
  <c r="K172" i="3" s="1"/>
  <c r="H169" i="3"/>
  <c r="H151" i="3"/>
  <c r="H143" i="3"/>
  <c r="H93" i="3"/>
  <c r="H82" i="3"/>
  <c r="H68" i="3"/>
  <c r="H39" i="3"/>
  <c r="K39" i="3" s="1"/>
  <c r="H48" i="3"/>
  <c r="H87" i="3"/>
  <c r="K87" i="3" s="1"/>
  <c r="H74" i="3"/>
  <c r="H304" i="3"/>
  <c r="H245" i="3"/>
  <c r="K245" i="3" s="1"/>
  <c r="H179" i="3"/>
  <c r="H173" i="3"/>
  <c r="H171" i="3"/>
  <c r="H90" i="3"/>
  <c r="H43" i="3"/>
  <c r="H243" i="3"/>
  <c r="H81" i="3"/>
  <c r="H77" i="3"/>
  <c r="H62" i="3"/>
  <c r="H83" i="3"/>
  <c r="H78" i="3"/>
  <c r="H31" i="3"/>
  <c r="H38" i="3"/>
  <c r="H49" i="3"/>
  <c r="H148" i="3"/>
  <c r="H30" i="3"/>
  <c r="H46" i="3"/>
  <c r="H53" i="3"/>
  <c r="H75" i="3"/>
  <c r="K75" i="3" s="1"/>
  <c r="H91" i="3"/>
  <c r="K91" i="3" s="1"/>
  <c r="H145" i="3"/>
  <c r="H154" i="3"/>
  <c r="H163" i="3"/>
  <c r="H187" i="3"/>
  <c r="H293" i="3"/>
  <c r="H29" i="3"/>
  <c r="K29" i="3" s="1"/>
  <c r="H36" i="3"/>
  <c r="H41" i="3"/>
  <c r="H50" i="3"/>
  <c r="H59" i="3"/>
  <c r="H66" i="3"/>
  <c r="K66" i="3" s="1"/>
  <c r="H73" i="3"/>
  <c r="H84" i="3"/>
  <c r="H89" i="3"/>
  <c r="H106" i="3"/>
  <c r="H110" i="3"/>
  <c r="H116" i="3"/>
  <c r="H121" i="3"/>
  <c r="H128" i="3"/>
  <c r="H132" i="3"/>
  <c r="H144" i="3"/>
  <c r="H147" i="3"/>
  <c r="H150" i="3"/>
  <c r="H156" i="3"/>
  <c r="H160" i="3"/>
  <c r="H162" i="3"/>
  <c r="H165" i="3"/>
  <c r="H176" i="3"/>
  <c r="H200" i="3"/>
  <c r="H220" i="3"/>
  <c r="H242" i="3"/>
  <c r="K242" i="3" s="1"/>
  <c r="H250" i="3"/>
  <c r="H254" i="3"/>
  <c r="H267" i="3"/>
  <c r="H281" i="3"/>
  <c r="H283" i="3"/>
  <c r="H292" i="3"/>
  <c r="H308" i="3"/>
  <c r="K308" i="3" s="1"/>
  <c r="H286" i="3"/>
  <c r="H296" i="3"/>
  <c r="H64" i="3"/>
  <c r="K64" i="3" s="1"/>
  <c r="H67" i="3"/>
  <c r="H95" i="3"/>
  <c r="H140" i="3"/>
  <c r="H152" i="3"/>
  <c r="H158" i="3"/>
  <c r="H191" i="3"/>
  <c r="H252" i="3"/>
  <c r="H279" i="3"/>
  <c r="H284" i="3"/>
  <c r="H302" i="3"/>
  <c r="H331" i="3"/>
  <c r="H338" i="3"/>
  <c r="H34" i="3"/>
  <c r="H45" i="3"/>
  <c r="H52" i="3"/>
  <c r="H94" i="3"/>
  <c r="H109" i="3"/>
  <c r="H113" i="3"/>
  <c r="H119" i="3"/>
  <c r="H130" i="3"/>
  <c r="H135" i="3"/>
  <c r="H146" i="3"/>
  <c r="H153" i="3"/>
  <c r="H159" i="3"/>
  <c r="H164" i="3"/>
  <c r="H183" i="3"/>
  <c r="H190" i="3"/>
  <c r="H194" i="3"/>
  <c r="H218" i="3"/>
  <c r="K218" i="3" s="1"/>
  <c r="H253" i="3"/>
  <c r="K253" i="3" s="1"/>
  <c r="H256" i="3"/>
  <c r="H273" i="3"/>
  <c r="H278" i="3"/>
  <c r="H280" i="3"/>
  <c r="H297" i="3"/>
  <c r="H303" i="3"/>
  <c r="K303" i="3" s="1"/>
  <c r="J30" i="3"/>
  <c r="J34" i="3"/>
  <c r="J38" i="3"/>
  <c r="J45" i="3"/>
  <c r="J48" i="3"/>
  <c r="J52" i="3"/>
  <c r="J65" i="3"/>
  <c r="J74" i="3"/>
  <c r="J86" i="3"/>
  <c r="J90" i="3"/>
  <c r="J94" i="3"/>
  <c r="J98" i="3"/>
  <c r="J102" i="3"/>
  <c r="J106" i="3"/>
  <c r="J110" i="3"/>
  <c r="J113" i="3"/>
  <c r="J116" i="3"/>
  <c r="J119" i="3"/>
  <c r="J123" i="3"/>
  <c r="J126" i="3"/>
  <c r="J130" i="3"/>
  <c r="J133" i="3"/>
  <c r="J141" i="3"/>
  <c r="J152" i="3"/>
  <c r="J155" i="3"/>
  <c r="J158" i="3"/>
  <c r="J168" i="3"/>
  <c r="J171" i="3"/>
  <c r="J178" i="3"/>
  <c r="J181" i="3"/>
  <c r="J190" i="3"/>
  <c r="J198" i="3"/>
  <c r="J200" i="3"/>
  <c r="J220" i="3"/>
  <c r="J241" i="3"/>
  <c r="J244" i="3"/>
  <c r="J254" i="3"/>
  <c r="J264" i="3"/>
  <c r="J267" i="3"/>
  <c r="J281" i="3"/>
  <c r="J284" i="3"/>
  <c r="J292" i="3"/>
  <c r="J302" i="3"/>
  <c r="J338" i="3"/>
  <c r="J27" i="3"/>
  <c r="K27" i="3" s="1"/>
  <c r="J32" i="3"/>
  <c r="J36" i="3"/>
  <c r="J40" i="3"/>
  <c r="J43" i="3"/>
  <c r="J50" i="3"/>
  <c r="J58" i="3"/>
  <c r="K58" i="3" s="1"/>
  <c r="J67" i="3"/>
  <c r="J72" i="3"/>
  <c r="J76" i="3"/>
  <c r="J84" i="3"/>
  <c r="J88" i="3"/>
  <c r="K88" i="3" s="1"/>
  <c r="J92" i="3"/>
  <c r="K92" i="3" s="1"/>
  <c r="J96" i="3"/>
  <c r="J100" i="3"/>
  <c r="J104" i="3"/>
  <c r="J108" i="3"/>
  <c r="J121" i="3"/>
  <c r="J128" i="3"/>
  <c r="J135" i="3"/>
  <c r="J145" i="3"/>
  <c r="J150" i="3"/>
  <c r="J160" i="3"/>
  <c r="J163" i="3"/>
  <c r="J166" i="3"/>
  <c r="J173" i="3"/>
  <c r="J176" i="3"/>
  <c r="J183" i="3"/>
  <c r="J188" i="3"/>
  <c r="J192" i="3"/>
  <c r="J246" i="3"/>
  <c r="J256" i="3"/>
  <c r="J273" i="3"/>
  <c r="J276" i="3"/>
  <c r="J279" i="3"/>
  <c r="H25" i="3"/>
  <c r="K25" i="3" s="1"/>
  <c r="H26" i="3"/>
  <c r="K26" i="3" s="1"/>
  <c r="H23" i="3"/>
  <c r="K23" i="3" s="1"/>
  <c r="H24" i="3"/>
  <c r="K24" i="3" s="1"/>
  <c r="J132" i="3"/>
  <c r="J142" i="3"/>
  <c r="J143" i="3"/>
  <c r="J147" i="3"/>
  <c r="J148" i="3"/>
  <c r="J149" i="3"/>
  <c r="J153" i="3"/>
  <c r="J157" i="3"/>
  <c r="J161" i="3"/>
  <c r="J165" i="3"/>
  <c r="J169" i="3"/>
  <c r="J174" i="3"/>
  <c r="J179" i="3"/>
  <c r="J194" i="3"/>
  <c r="J243" i="3"/>
  <c r="J247" i="3"/>
  <c r="J249" i="3"/>
  <c r="J252" i="3"/>
  <c r="J266" i="3"/>
  <c r="K266" i="3" s="1"/>
  <c r="J274" i="3"/>
  <c r="J278" i="3"/>
  <c r="J282" i="3"/>
  <c r="J286" i="3"/>
  <c r="J297" i="3"/>
  <c r="J331" i="3"/>
  <c r="K134" i="3"/>
  <c r="K182" i="3" l="1"/>
  <c r="K46" i="3"/>
  <c r="K79" i="3"/>
  <c r="K264" i="3"/>
  <c r="K241" i="3"/>
  <c r="K175" i="3"/>
  <c r="K194" i="3"/>
  <c r="K93" i="3"/>
  <c r="K166" i="3"/>
  <c r="K164" i="3"/>
  <c r="K59" i="3"/>
  <c r="K143" i="3"/>
  <c r="K168" i="3"/>
  <c r="K94" i="3"/>
  <c r="K158" i="3"/>
  <c r="K33" i="3"/>
  <c r="K165" i="3"/>
  <c r="K103" i="3"/>
  <c r="K293" i="3"/>
  <c r="K180" i="3"/>
  <c r="K76" i="3"/>
  <c r="K275" i="3"/>
  <c r="K149" i="3"/>
  <c r="K31" i="3"/>
  <c r="K193" i="3"/>
  <c r="K97" i="3"/>
  <c r="K122" i="3"/>
  <c r="K272" i="3"/>
  <c r="K258" i="3"/>
  <c r="K120" i="3"/>
  <c r="K283" i="3"/>
  <c r="K49" i="3"/>
  <c r="K304" i="3"/>
  <c r="K170" i="3"/>
  <c r="K119" i="3"/>
  <c r="K247" i="3"/>
  <c r="K135" i="3"/>
  <c r="K110" i="3"/>
  <c r="K72" i="3"/>
  <c r="K41" i="3"/>
  <c r="K206" i="3"/>
  <c r="K85" i="3"/>
  <c r="K262" i="3"/>
  <c r="K187" i="3"/>
  <c r="K281" i="3"/>
  <c r="K282" i="3"/>
  <c r="K296" i="3"/>
  <c r="K99" i="3"/>
  <c r="K156" i="3"/>
  <c r="K35" i="3"/>
  <c r="K297" i="3"/>
  <c r="K246" i="3"/>
  <c r="K274" i="3"/>
  <c r="K188" i="3"/>
  <c r="K107" i="3"/>
  <c r="K146" i="3"/>
  <c r="K160" i="3"/>
  <c r="K116" i="3"/>
  <c r="K86" i="3"/>
  <c r="K67" i="3"/>
  <c r="K45" i="3"/>
  <c r="K154" i="3"/>
  <c r="K161" i="3"/>
  <c r="K132" i="3"/>
  <c r="K65" i="3"/>
  <c r="K81" i="3"/>
  <c r="K109" i="3"/>
  <c r="K152" i="3"/>
  <c r="K36" i="3"/>
  <c r="K82" i="3"/>
  <c r="K189" i="3"/>
  <c r="K285" i="3"/>
  <c r="K98" i="3"/>
  <c r="K40" i="3"/>
  <c r="K255" i="3"/>
  <c r="K96" i="3"/>
  <c r="K280" i="3"/>
  <c r="K52" i="3"/>
  <c r="K140" i="3"/>
  <c r="K292" i="3"/>
  <c r="K147" i="3"/>
  <c r="K121" i="3"/>
  <c r="K163" i="3"/>
  <c r="K198" i="3"/>
  <c r="K126" i="3"/>
  <c r="K141" i="3"/>
  <c r="K32" i="3"/>
  <c r="K133" i="3"/>
  <c r="K106" i="3"/>
  <c r="K80" i="3"/>
  <c r="K174" i="3"/>
  <c r="K279" i="3"/>
  <c r="K256" i="3"/>
  <c r="K128" i="3"/>
  <c r="K267" i="3"/>
  <c r="K155" i="3"/>
  <c r="K130" i="3"/>
  <c r="K102" i="3"/>
  <c r="K38" i="3"/>
  <c r="K159" i="3"/>
  <c r="K249" i="3"/>
  <c r="K169" i="3"/>
  <c r="K153" i="3"/>
  <c r="K150" i="3"/>
  <c r="K104" i="3"/>
  <c r="K338" i="3"/>
  <c r="K171" i="3"/>
  <c r="K30" i="3"/>
  <c r="K129" i="3"/>
  <c r="K261" i="3"/>
  <c r="K192" i="3"/>
  <c r="K108" i="3"/>
  <c r="K178" i="3"/>
  <c r="K243" i="3"/>
  <c r="K276" i="3"/>
  <c r="K173" i="3"/>
  <c r="K190" i="3"/>
  <c r="K277" i="3"/>
  <c r="K167" i="3"/>
  <c r="K73" i="3"/>
  <c r="K162" i="3"/>
  <c r="K89" i="3"/>
  <c r="K331" i="3"/>
  <c r="K252" i="3"/>
  <c r="K254" i="3"/>
  <c r="K74" i="3"/>
  <c r="K151" i="3"/>
  <c r="K62" i="3"/>
  <c r="K250" i="3"/>
  <c r="K113" i="3"/>
  <c r="K191" i="3"/>
  <c r="K144" i="3"/>
  <c r="K53" i="3"/>
  <c r="K259" i="3"/>
  <c r="K273" i="3"/>
  <c r="K34" i="3"/>
  <c r="K176" i="3"/>
  <c r="K83" i="3"/>
  <c r="K68" i="3"/>
  <c r="K157" i="3"/>
  <c r="K284" i="3"/>
  <c r="K145" i="3"/>
  <c r="K181" i="3"/>
  <c r="K220" i="3"/>
  <c r="K260" i="3"/>
  <c r="K48" i="3"/>
  <c r="K244" i="3"/>
  <c r="K278" i="3"/>
  <c r="K183" i="3"/>
  <c r="K302" i="3"/>
  <c r="K95" i="3"/>
  <c r="K200" i="3"/>
  <c r="K84" i="3"/>
  <c r="K50" i="3"/>
  <c r="K77" i="3"/>
  <c r="K90" i="3"/>
  <c r="K44" i="3"/>
  <c r="K138" i="3"/>
  <c r="K123" i="3"/>
  <c r="K257" i="3"/>
  <c r="K127" i="3"/>
  <c r="K101" i="3"/>
  <c r="K286" i="3"/>
  <c r="K142" i="3"/>
  <c r="K43" i="3"/>
  <c r="K78" i="3"/>
  <c r="K179" i="3"/>
  <c r="K148" i="3"/>
  <c r="K100" i="3"/>
  <c r="J308" i="1"/>
  <c r="H308" i="1"/>
  <c r="J306" i="1"/>
  <c r="H306" i="1"/>
  <c r="J305" i="1"/>
  <c r="H305" i="1"/>
  <c r="J293" i="1"/>
  <c r="H293" i="1"/>
  <c r="J292" i="1"/>
  <c r="H292" i="1"/>
  <c r="J194" i="1"/>
  <c r="H194" i="1"/>
  <c r="J193" i="1"/>
  <c r="H193" i="1"/>
  <c r="J191" i="1"/>
  <c r="H191" i="1"/>
  <c r="J190" i="1"/>
  <c r="H190" i="1"/>
  <c r="J189" i="1"/>
  <c r="K189" i="1" s="1"/>
  <c r="J187" i="1"/>
  <c r="H187" i="1"/>
  <c r="J186" i="1"/>
  <c r="H186" i="1"/>
  <c r="J184" i="1"/>
  <c r="J183" i="1"/>
  <c r="J181" i="1"/>
  <c r="H181" i="1"/>
  <c r="J180" i="1"/>
  <c r="H180" i="1"/>
  <c r="J179" i="1"/>
  <c r="J178" i="1"/>
  <c r="J177" i="1"/>
  <c r="H177" i="1"/>
  <c r="J176" i="1"/>
  <c r="H176" i="1"/>
  <c r="J175" i="1"/>
  <c r="J174" i="1"/>
  <c r="J173" i="1"/>
  <c r="J172" i="1"/>
  <c r="K172" i="1" s="1"/>
  <c r="J171" i="1"/>
  <c r="J170" i="1"/>
  <c r="J169" i="1"/>
  <c r="J167" i="1"/>
  <c r="J166" i="1"/>
  <c r="J165" i="1"/>
  <c r="J164" i="1"/>
  <c r="J162" i="1"/>
  <c r="H162" i="1"/>
  <c r="J161" i="1"/>
  <c r="H161" i="1"/>
  <c r="J158" i="1"/>
  <c r="H158" i="1"/>
  <c r="J157" i="1"/>
  <c r="H157" i="1"/>
  <c r="J156" i="1"/>
  <c r="J155" i="1"/>
  <c r="H155" i="1"/>
  <c r="J154" i="1"/>
  <c r="H154" i="1"/>
  <c r="J153" i="1"/>
  <c r="J152" i="1"/>
  <c r="H152" i="1"/>
  <c r="J151" i="1"/>
  <c r="H151" i="1"/>
  <c r="J149" i="1"/>
  <c r="H149" i="1"/>
  <c r="J148" i="1"/>
  <c r="H148" i="1"/>
  <c r="J145" i="1"/>
  <c r="H145" i="1"/>
  <c r="J144" i="1"/>
  <c r="H144" i="1"/>
  <c r="J139" i="1"/>
  <c r="H139" i="1"/>
  <c r="J138" i="1"/>
  <c r="H138" i="1"/>
  <c r="J135" i="1"/>
  <c r="H135" i="1"/>
  <c r="J134" i="1"/>
  <c r="H134" i="1"/>
  <c r="J133" i="1"/>
  <c r="J132" i="1"/>
  <c r="J131" i="1"/>
  <c r="H131" i="1"/>
  <c r="J130" i="1"/>
  <c r="H130" i="1"/>
  <c r="J129" i="1"/>
  <c r="J128" i="1"/>
  <c r="H128" i="1"/>
  <c r="J127" i="1"/>
  <c r="H127" i="1"/>
  <c r="J77" i="1"/>
  <c r="H77" i="1"/>
  <c r="J76" i="1"/>
  <c r="H76" i="1"/>
  <c r="J68" i="1"/>
  <c r="H68" i="1"/>
  <c r="J67" i="1"/>
  <c r="H67" i="1"/>
  <c r="J66" i="1"/>
  <c r="H66" i="1"/>
  <c r="J65" i="1"/>
  <c r="H65" i="1"/>
  <c r="J63" i="1"/>
  <c r="H63" i="1"/>
  <c r="J62" i="1"/>
  <c r="H62" i="1"/>
  <c r="J44" i="1"/>
  <c r="H44" i="1"/>
  <c r="J43" i="1"/>
  <c r="H43" i="1"/>
  <c r="J42" i="1"/>
  <c r="J41" i="1"/>
  <c r="H41" i="1"/>
  <c r="J40" i="1"/>
  <c r="H40" i="1"/>
  <c r="J38" i="1"/>
  <c r="H38" i="1"/>
  <c r="J37" i="1"/>
  <c r="H37" i="1"/>
  <c r="J36" i="1"/>
  <c r="J35" i="1"/>
  <c r="J34" i="1"/>
  <c r="J33" i="1"/>
  <c r="J32" i="1"/>
  <c r="J31" i="1"/>
  <c r="J30" i="1"/>
  <c r="H30" i="1"/>
  <c r="J29" i="1"/>
  <c r="H29" i="1"/>
  <c r="J27" i="1"/>
  <c r="H27" i="1"/>
  <c r="K157" i="1" l="1"/>
  <c r="K27" i="1"/>
  <c r="K186" i="1"/>
  <c r="K43" i="1"/>
  <c r="K183" i="1"/>
  <c r="K187" i="1"/>
  <c r="K33" i="1"/>
  <c r="K179" i="1"/>
  <c r="K180" i="1"/>
  <c r="K308" i="1"/>
  <c r="K29" i="1"/>
  <c r="K191" i="1"/>
  <c r="K37" i="1"/>
  <c r="K34" i="1"/>
  <c r="K36" i="1"/>
  <c r="K38" i="1"/>
  <c r="K41" i="1"/>
  <c r="K42" i="1"/>
  <c r="K44" i="1"/>
  <c r="K66" i="1"/>
  <c r="K175" i="1"/>
  <c r="K306" i="1"/>
  <c r="K30" i="1"/>
  <c r="K65" i="1"/>
  <c r="K174" i="1"/>
  <c r="K178" i="1"/>
  <c r="K127" i="1"/>
  <c r="K132" i="1"/>
  <c r="K133" i="1"/>
  <c r="K135" i="1"/>
  <c r="K148" i="1"/>
  <c r="K149" i="1"/>
  <c r="K151" i="1"/>
  <c r="K156" i="1"/>
  <c r="K164" i="1"/>
  <c r="K165" i="1"/>
  <c r="K167" i="1"/>
  <c r="K171" i="1"/>
  <c r="K62" i="1"/>
  <c r="K194" i="1"/>
  <c r="K292" i="1"/>
  <c r="K68" i="1"/>
  <c r="K128" i="1"/>
  <c r="K131" i="1"/>
  <c r="K139" i="1"/>
  <c r="K144" i="1"/>
  <c r="K152" i="1"/>
  <c r="K155" i="1"/>
  <c r="K170" i="1"/>
  <c r="K305" i="1"/>
  <c r="K193" i="1"/>
  <c r="K293" i="1"/>
  <c r="K32" i="1"/>
  <c r="K77" i="1"/>
  <c r="K31" i="1"/>
  <c r="K63" i="1"/>
  <c r="K129" i="1"/>
  <c r="K145" i="1"/>
  <c r="K153" i="1"/>
  <c r="K161" i="1"/>
  <c r="K176" i="1"/>
  <c r="K76" i="1"/>
  <c r="K35" i="1"/>
  <c r="K40" i="1"/>
  <c r="K67" i="1"/>
  <c r="K190" i="1"/>
  <c r="K184" i="1"/>
  <c r="K130" i="1"/>
  <c r="K134" i="1"/>
  <c r="K138" i="1"/>
  <c r="K154" i="1"/>
  <c r="K158" i="1"/>
  <c r="K162" i="1"/>
  <c r="K166" i="1"/>
  <c r="K169" i="1"/>
  <c r="K173" i="1"/>
  <c r="K177" i="1"/>
  <c r="K181" i="1"/>
  <c r="B186" i="1"/>
  <c r="B187" i="1"/>
  <c r="B190" i="1"/>
  <c r="B191" i="1"/>
  <c r="B193" i="1"/>
  <c r="B194" i="1"/>
  <c r="F188" i="1"/>
  <c r="K291" i="1" l="1"/>
  <c r="H188" i="1"/>
  <c r="J188" i="1"/>
  <c r="B302" i="3"/>
  <c r="B308" i="3"/>
  <c r="B272" i="3"/>
  <c r="B241" i="3"/>
  <c r="B200" i="3"/>
  <c r="H199" i="3"/>
  <c r="B187" i="3"/>
  <c r="F139" i="3"/>
  <c r="H139" i="3" s="1"/>
  <c r="B118" i="3"/>
  <c r="F117" i="3"/>
  <c r="H117" i="3" s="1"/>
  <c r="F63" i="3"/>
  <c r="H63" i="3" s="1"/>
  <c r="B72" i="3"/>
  <c r="B293" i="3"/>
  <c r="B296" i="3"/>
  <c r="B297" i="3"/>
  <c r="B303" i="3"/>
  <c r="B330" i="3"/>
  <c r="B331" i="3"/>
  <c r="B27" i="3"/>
  <c r="B28" i="3"/>
  <c r="B29" i="3"/>
  <c r="B30" i="3"/>
  <c r="B33" i="3"/>
  <c r="B34" i="3"/>
  <c r="B36" i="3"/>
  <c r="B37" i="3"/>
  <c r="B40" i="3"/>
  <c r="B41" i="3"/>
  <c r="B45" i="3"/>
  <c r="B46" i="3"/>
  <c r="B50" i="3"/>
  <c r="B51" i="3"/>
  <c r="B52" i="3"/>
  <c r="B53" i="3"/>
  <c r="B58" i="3"/>
  <c r="B59" i="3"/>
  <c r="B64" i="3"/>
  <c r="B65" i="3"/>
  <c r="B66" i="3"/>
  <c r="B67" i="3"/>
  <c r="B73" i="3"/>
  <c r="B75" i="3"/>
  <c r="B76" i="3"/>
  <c r="B84" i="3"/>
  <c r="B85" i="3"/>
  <c r="B88" i="3"/>
  <c r="B89" i="3"/>
  <c r="B91" i="3"/>
  <c r="B92" i="3"/>
  <c r="B94" i="3"/>
  <c r="B95" i="3"/>
  <c r="B106" i="3"/>
  <c r="B107" i="3"/>
  <c r="B109" i="3"/>
  <c r="B110" i="3"/>
  <c r="B112" i="3"/>
  <c r="B113" i="3"/>
  <c r="B119" i="3"/>
  <c r="B121" i="3"/>
  <c r="B122" i="3"/>
  <c r="B128" i="3"/>
  <c r="B129" i="3"/>
  <c r="B134" i="3"/>
  <c r="B135" i="3"/>
  <c r="B140" i="3"/>
  <c r="B141" i="3"/>
  <c r="B144" i="3"/>
  <c r="B145" i="3"/>
  <c r="B146" i="3"/>
  <c r="B147" i="3"/>
  <c r="B149" i="3"/>
  <c r="B150" i="3"/>
  <c r="B152" i="3"/>
  <c r="B153" i="3"/>
  <c r="B155" i="3"/>
  <c r="B156" i="3"/>
  <c r="B158" i="3"/>
  <c r="B159" i="3"/>
  <c r="B161" i="3"/>
  <c r="B162" i="3"/>
  <c r="B165" i="3"/>
  <c r="B166" i="3"/>
  <c r="B176" i="3"/>
  <c r="B177" i="3"/>
  <c r="B182" i="3"/>
  <c r="B183" i="3"/>
  <c r="B188" i="3"/>
  <c r="B190" i="3"/>
  <c r="B191" i="3"/>
  <c r="B193" i="3"/>
  <c r="B194" i="3"/>
  <c r="B206" i="3"/>
  <c r="B218" i="3"/>
  <c r="B219" i="3"/>
  <c r="B220" i="3"/>
  <c r="B235" i="3"/>
  <c r="B242" i="3"/>
  <c r="B252" i="3"/>
  <c r="B253" i="3"/>
  <c r="B255" i="3"/>
  <c r="B256" i="3"/>
  <c r="B266" i="3"/>
  <c r="B267" i="3"/>
  <c r="B273" i="3"/>
  <c r="B278" i="3"/>
  <c r="B279" i="3"/>
  <c r="B286" i="3"/>
  <c r="B293" i="1"/>
  <c r="B305" i="1"/>
  <c r="B306" i="1"/>
  <c r="B308" i="1"/>
  <c r="B27" i="1"/>
  <c r="B28" i="1"/>
  <c r="B29" i="1"/>
  <c r="B30" i="1"/>
  <c r="B37" i="1"/>
  <c r="B38" i="1"/>
  <c r="B40" i="1"/>
  <c r="B41" i="1"/>
  <c r="B43" i="1"/>
  <c r="B44" i="1"/>
  <c r="B62" i="1"/>
  <c r="B63" i="1"/>
  <c r="B65" i="1"/>
  <c r="B66" i="1"/>
  <c r="B67" i="1"/>
  <c r="B68" i="1"/>
  <c r="B76" i="1"/>
  <c r="B77" i="1"/>
  <c r="B127" i="1"/>
  <c r="B128" i="1"/>
  <c r="B130" i="1"/>
  <c r="B131" i="1"/>
  <c r="B134" i="1"/>
  <c r="B135" i="1"/>
  <c r="B138" i="1"/>
  <c r="B139" i="1"/>
  <c r="B144" i="1"/>
  <c r="B145" i="1"/>
  <c r="B148" i="1"/>
  <c r="B149" i="1"/>
  <c r="B151" i="1"/>
  <c r="B152" i="1"/>
  <c r="B154" i="1"/>
  <c r="B155" i="1"/>
  <c r="B157" i="1"/>
  <c r="B158" i="1"/>
  <c r="B161" i="1"/>
  <c r="B162" i="1"/>
  <c r="B176" i="1"/>
  <c r="B177" i="1"/>
  <c r="B180" i="1"/>
  <c r="B181" i="1"/>
  <c r="F306" i="3"/>
  <c r="H70" i="3"/>
  <c r="H270" i="3"/>
  <c r="H268" i="3"/>
  <c r="H306" i="3" l="1"/>
  <c r="J306" i="3"/>
  <c r="J270" i="3"/>
  <c r="K270" i="3" s="1"/>
  <c r="H71" i="3"/>
  <c r="J70" i="3"/>
  <c r="J117" i="3"/>
  <c r="J199" i="3"/>
  <c r="F307" i="3"/>
  <c r="J268" i="3"/>
  <c r="J139" i="3"/>
  <c r="J63" i="3"/>
  <c r="K188" i="1"/>
  <c r="H271" i="3"/>
  <c r="H269" i="3"/>
  <c r="J307" i="3" l="1"/>
  <c r="H307" i="3"/>
  <c r="K306" i="3"/>
  <c r="K70" i="3"/>
  <c r="J269" i="3"/>
  <c r="K269" i="3" s="1"/>
  <c r="K139" i="3"/>
  <c r="K117" i="3"/>
  <c r="J271" i="3"/>
  <c r="K63" i="3"/>
  <c r="K268" i="3"/>
  <c r="K199" i="3"/>
  <c r="J71" i="3"/>
  <c r="H239" i="3"/>
  <c r="H238" i="3"/>
  <c r="H236" i="3"/>
  <c r="D31" i="2"/>
  <c r="C31" i="2"/>
  <c r="F60" i="3"/>
  <c r="H60" i="3" s="1"/>
  <c r="H56" i="3"/>
  <c r="H54" i="3"/>
  <c r="F47" i="3"/>
  <c r="H47" i="3" s="1"/>
  <c r="F147" i="1"/>
  <c r="F142" i="1"/>
  <c r="F96" i="1"/>
  <c r="F95" i="1"/>
  <c r="F94" i="1"/>
  <c r="F93" i="1"/>
  <c r="F92" i="1"/>
  <c r="F91" i="1"/>
  <c r="F90" i="1"/>
  <c r="F89" i="1"/>
  <c r="F88" i="1"/>
  <c r="F87" i="1"/>
  <c r="F86" i="1"/>
  <c r="F84" i="1"/>
  <c r="F83" i="1"/>
  <c r="F82" i="1"/>
  <c r="F81" i="1"/>
  <c r="F80" i="1"/>
  <c r="F79" i="1"/>
  <c r="F78" i="1"/>
  <c r="F75" i="1"/>
  <c r="F74" i="1"/>
  <c r="F73" i="1"/>
  <c r="F72" i="1"/>
  <c r="F71" i="1"/>
  <c r="F70" i="1"/>
  <c r="F69" i="1"/>
  <c r="F64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39" i="1"/>
  <c r="K307" i="3" l="1"/>
  <c r="J47" i="1"/>
  <c r="H47" i="1"/>
  <c r="H69" i="1"/>
  <c r="H83" i="1"/>
  <c r="H39" i="1"/>
  <c r="H52" i="1"/>
  <c r="J52" i="1"/>
  <c r="J56" i="1"/>
  <c r="H56" i="1"/>
  <c r="H60" i="1"/>
  <c r="J60" i="1"/>
  <c r="H70" i="1"/>
  <c r="H74" i="1"/>
  <c r="H80" i="1"/>
  <c r="H84" i="1"/>
  <c r="H88" i="1"/>
  <c r="H91" i="1"/>
  <c r="H95" i="1"/>
  <c r="H143" i="1"/>
  <c r="J51" i="1"/>
  <c r="H51" i="1"/>
  <c r="H87" i="1"/>
  <c r="H45" i="1"/>
  <c r="J45" i="1"/>
  <c r="J57" i="1"/>
  <c r="H57" i="1"/>
  <c r="H71" i="1"/>
  <c r="H75" i="1"/>
  <c r="H81" i="1"/>
  <c r="H85" i="1"/>
  <c r="H89" i="1"/>
  <c r="H92" i="1"/>
  <c r="H96" i="1"/>
  <c r="H141" i="1"/>
  <c r="H59" i="1"/>
  <c r="J59" i="1"/>
  <c r="H79" i="1"/>
  <c r="J48" i="1"/>
  <c r="H48" i="1"/>
  <c r="H49" i="1"/>
  <c r="J49" i="1"/>
  <c r="H53" i="1"/>
  <c r="J53" i="1"/>
  <c r="J61" i="1"/>
  <c r="H61" i="1"/>
  <c r="J46" i="1"/>
  <c r="H46" i="1"/>
  <c r="J50" i="1"/>
  <c r="H50" i="1"/>
  <c r="H54" i="1"/>
  <c r="J54" i="1"/>
  <c r="H58" i="1"/>
  <c r="J58" i="1"/>
  <c r="H64" i="1"/>
  <c r="H72" i="1"/>
  <c r="H78" i="1"/>
  <c r="H82" i="1"/>
  <c r="H86" i="1"/>
  <c r="H93" i="1"/>
  <c r="H140" i="1"/>
  <c r="J55" i="1"/>
  <c r="H55" i="1"/>
  <c r="H73" i="1"/>
  <c r="H90" i="1"/>
  <c r="H94" i="1"/>
  <c r="H142" i="1"/>
  <c r="K271" i="3"/>
  <c r="F57" i="3"/>
  <c r="H57" i="3" s="1"/>
  <c r="J56" i="3"/>
  <c r="J236" i="3"/>
  <c r="J54" i="3"/>
  <c r="H240" i="3"/>
  <c r="J239" i="3"/>
  <c r="F61" i="3"/>
  <c r="H61" i="3" s="1"/>
  <c r="J60" i="3"/>
  <c r="H237" i="3"/>
  <c r="J237" i="3"/>
  <c r="J47" i="3"/>
  <c r="J238" i="3"/>
  <c r="K71" i="3"/>
  <c r="J64" i="1"/>
  <c r="J78" i="1"/>
  <c r="J82" i="1"/>
  <c r="J86" i="1"/>
  <c r="J93" i="1"/>
  <c r="J140" i="1"/>
  <c r="J147" i="1"/>
  <c r="H147" i="1"/>
  <c r="J72" i="1"/>
  <c r="J69" i="1"/>
  <c r="J73" i="1"/>
  <c r="J79" i="1"/>
  <c r="J83" i="1"/>
  <c r="J87" i="1"/>
  <c r="J90" i="1"/>
  <c r="J94" i="1"/>
  <c r="J142" i="1"/>
  <c r="J70" i="1"/>
  <c r="J74" i="1"/>
  <c r="J80" i="1"/>
  <c r="J84" i="1"/>
  <c r="J88" i="1"/>
  <c r="J91" i="1"/>
  <c r="J95" i="1"/>
  <c r="J143" i="1"/>
  <c r="J39" i="1"/>
  <c r="J71" i="1"/>
  <c r="J75" i="1"/>
  <c r="J81" i="1"/>
  <c r="J85" i="1"/>
  <c r="J89" i="1"/>
  <c r="J92" i="1"/>
  <c r="J96" i="1"/>
  <c r="J141" i="1"/>
  <c r="F305" i="3"/>
  <c r="F55" i="3"/>
  <c r="H55" i="3" s="1"/>
  <c r="H69" i="3"/>
  <c r="K91" i="1" l="1"/>
  <c r="K86" i="1"/>
  <c r="K69" i="1"/>
  <c r="G219" i="3"/>
  <c r="J305" i="3"/>
  <c r="H305" i="3"/>
  <c r="K73" i="1"/>
  <c r="K147" i="1"/>
  <c r="K81" i="1"/>
  <c r="K87" i="1"/>
  <c r="K79" i="1"/>
  <c r="K140" i="1"/>
  <c r="K56" i="1"/>
  <c r="K47" i="1"/>
  <c r="K52" i="1"/>
  <c r="K49" i="1"/>
  <c r="K59" i="1"/>
  <c r="K55" i="1"/>
  <c r="K58" i="1"/>
  <c r="K46" i="1"/>
  <c r="K48" i="1"/>
  <c r="K57" i="1"/>
  <c r="K45" i="1"/>
  <c r="K51" i="1"/>
  <c r="K60" i="1"/>
  <c r="K93" i="1"/>
  <c r="K88" i="1"/>
  <c r="K50" i="1"/>
  <c r="K85" i="1"/>
  <c r="K71" i="1"/>
  <c r="K54" i="1"/>
  <c r="K61" i="1"/>
  <c r="K53" i="1"/>
  <c r="K60" i="3"/>
  <c r="K54" i="3"/>
  <c r="K47" i="3"/>
  <c r="K56" i="3"/>
  <c r="K236" i="3"/>
  <c r="K89" i="1"/>
  <c r="K39" i="1"/>
  <c r="K142" i="1"/>
  <c r="K141" i="1"/>
  <c r="K143" i="1"/>
  <c r="K95" i="1"/>
  <c r="J69" i="3"/>
  <c r="J55" i="3"/>
  <c r="J61" i="3"/>
  <c r="J240" i="3"/>
  <c r="I219" i="3" s="1"/>
  <c r="K238" i="3"/>
  <c r="K237" i="3"/>
  <c r="K239" i="3"/>
  <c r="J57" i="3"/>
  <c r="K84" i="1"/>
  <c r="K70" i="1"/>
  <c r="K83" i="1"/>
  <c r="K72" i="1"/>
  <c r="K78" i="1"/>
  <c r="K92" i="1"/>
  <c r="K75" i="1"/>
  <c r="K74" i="1"/>
  <c r="K82" i="1"/>
  <c r="K96" i="1"/>
  <c r="K80" i="1"/>
  <c r="K94" i="1"/>
  <c r="K90" i="1"/>
  <c r="K64" i="1"/>
  <c r="K305" i="3" l="1"/>
  <c r="K57" i="3"/>
  <c r="K240" i="3"/>
  <c r="K219" i="3" s="1"/>
  <c r="K55" i="3"/>
  <c r="K69" i="3"/>
  <c r="K61" i="3"/>
  <c r="F295" i="3"/>
  <c r="F294" i="3"/>
  <c r="J298" i="3" l="1"/>
  <c r="H298" i="3"/>
  <c r="J294" i="3"/>
  <c r="H294" i="3"/>
  <c r="J300" i="3"/>
  <c r="H300" i="3"/>
  <c r="J295" i="3"/>
  <c r="H295" i="3"/>
  <c r="K298" i="3" l="1"/>
  <c r="K300" i="3"/>
  <c r="H299" i="3"/>
  <c r="J299" i="3"/>
  <c r="K295" i="3"/>
  <c r="K294" i="3"/>
  <c r="J301" i="3"/>
  <c r="H301" i="3"/>
  <c r="K301" i="3" l="1"/>
  <c r="K299" i="3"/>
  <c r="F114" i="3"/>
  <c r="H114" i="3" s="1"/>
  <c r="F111" i="3"/>
  <c r="H111" i="3" s="1"/>
  <c r="B292" i="3"/>
  <c r="B291" i="3"/>
  <c r="F196" i="3"/>
  <c r="H196" i="3" s="1"/>
  <c r="F197" i="3"/>
  <c r="H197" i="3" s="1"/>
  <c r="F195" i="3"/>
  <c r="H195" i="3" s="1"/>
  <c r="F42" i="3"/>
  <c r="H42" i="3" s="1"/>
  <c r="F185" i="1"/>
  <c r="F185" i="3"/>
  <c r="H185" i="3" s="1"/>
  <c r="F184" i="3"/>
  <c r="H184" i="3" s="1"/>
  <c r="F137" i="3"/>
  <c r="H137" i="3" s="1"/>
  <c r="F136" i="3"/>
  <c r="H136" i="3" s="1"/>
  <c r="F125" i="3"/>
  <c r="H125" i="3" s="1"/>
  <c r="F182" i="1"/>
  <c r="F195" i="1"/>
  <c r="F192" i="1"/>
  <c r="F150" i="1"/>
  <c r="F160" i="1"/>
  <c r="F159" i="1"/>
  <c r="F168" i="1"/>
  <c r="F163" i="1"/>
  <c r="F146" i="1"/>
  <c r="H168" i="1" l="1"/>
  <c r="H192" i="1"/>
  <c r="H185" i="1"/>
  <c r="H159" i="1"/>
  <c r="H195" i="1"/>
  <c r="H160" i="1"/>
  <c r="H182" i="1"/>
  <c r="H163" i="1"/>
  <c r="H150" i="1"/>
  <c r="J125" i="3"/>
  <c r="F186" i="3"/>
  <c r="H186" i="3" s="1"/>
  <c r="G28" i="3" s="1"/>
  <c r="J185" i="3"/>
  <c r="J197" i="3"/>
  <c r="J136" i="3"/>
  <c r="J196" i="3"/>
  <c r="J111" i="3"/>
  <c r="J114" i="3"/>
  <c r="J137" i="3"/>
  <c r="J42" i="3"/>
  <c r="J184" i="3"/>
  <c r="J195" i="3"/>
  <c r="J195" i="1"/>
  <c r="J185" i="1"/>
  <c r="J150" i="1"/>
  <c r="J163" i="1"/>
  <c r="J182" i="1"/>
  <c r="J168" i="1"/>
  <c r="J159" i="1"/>
  <c r="H146" i="1"/>
  <c r="J146" i="1"/>
  <c r="J160" i="1"/>
  <c r="J192" i="1"/>
  <c r="G291" i="3"/>
  <c r="E31" i="2" s="1"/>
  <c r="I291" i="3"/>
  <c r="F31" i="2" s="1"/>
  <c r="B22" i="2"/>
  <c r="B24" i="2"/>
  <c r="B25" i="2"/>
  <c r="B26" i="2"/>
  <c r="B36" i="2"/>
  <c r="C35" i="2"/>
  <c r="D35" i="2"/>
  <c r="C28" i="2"/>
  <c r="D28" i="2"/>
  <c r="B290" i="3"/>
  <c r="B292" i="1"/>
  <c r="B291" i="1"/>
  <c r="B247" i="1"/>
  <c r="K185" i="1" l="1"/>
  <c r="K168" i="1"/>
  <c r="K182" i="1"/>
  <c r="K192" i="1"/>
  <c r="G28" i="1"/>
  <c r="K159" i="1"/>
  <c r="K146" i="1"/>
  <c r="K184" i="3"/>
  <c r="K137" i="3"/>
  <c r="K42" i="3"/>
  <c r="K136" i="3"/>
  <c r="K111" i="3"/>
  <c r="J186" i="3"/>
  <c r="K196" i="3"/>
  <c r="K125" i="3"/>
  <c r="K195" i="3"/>
  <c r="K114" i="3"/>
  <c r="K197" i="3"/>
  <c r="K185" i="3"/>
  <c r="K160" i="1"/>
  <c r="K195" i="1"/>
  <c r="K163" i="1"/>
  <c r="K150" i="1"/>
  <c r="H291" i="3"/>
  <c r="J291" i="3"/>
  <c r="K291" i="3"/>
  <c r="K186" i="3" l="1"/>
  <c r="L291" i="3"/>
  <c r="G31" i="2" s="1"/>
  <c r="I291" i="1" l="1"/>
  <c r="F28" i="2" s="1"/>
  <c r="G291" i="1"/>
  <c r="E28" i="2" s="1"/>
  <c r="H291" i="1" l="1"/>
  <c r="J291" i="1"/>
  <c r="L291" i="1" l="1"/>
  <c r="G28" i="2" s="1"/>
  <c r="B338" i="3"/>
  <c r="I330" i="3" l="1"/>
  <c r="F35" i="2" s="1"/>
  <c r="I28" i="3"/>
  <c r="J22" i="3"/>
  <c r="H22" i="3"/>
  <c r="B21" i="3"/>
  <c r="B20" i="3"/>
  <c r="B31" i="3" l="1"/>
  <c r="G330" i="3"/>
  <c r="E35" i="2" s="1"/>
  <c r="J330" i="3"/>
  <c r="J219" i="3" s="1"/>
  <c r="H28" i="3"/>
  <c r="G21" i="3"/>
  <c r="H21" i="3" s="1"/>
  <c r="J28" i="3"/>
  <c r="K22" i="3"/>
  <c r="K330" i="3"/>
  <c r="I21" i="3"/>
  <c r="J21" i="3" s="1"/>
  <c r="K28" i="3"/>
  <c r="L6" i="3" l="1"/>
  <c r="F21" i="2" s="1"/>
  <c r="B32" i="3"/>
  <c r="H330" i="3"/>
  <c r="H219" i="3" s="1"/>
  <c r="L5" i="3" s="1"/>
  <c r="E21" i="2" s="1"/>
  <c r="L330" i="3"/>
  <c r="G35" i="2" s="1"/>
  <c r="L28" i="3"/>
  <c r="K21" i="3"/>
  <c r="L21" i="3" s="1"/>
  <c r="B35" i="3" l="1"/>
  <c r="L219" i="3"/>
  <c r="L9" i="3"/>
  <c r="B38" i="3" l="1"/>
  <c r="B39" i="3" s="1"/>
  <c r="B42" i="3" s="1"/>
  <c r="B43" i="3" s="1"/>
  <c r="L7" i="3"/>
  <c r="B44" i="3" l="1"/>
  <c r="B47" i="3" s="1"/>
  <c r="B48" i="3" s="1"/>
  <c r="B49" i="3" s="1"/>
  <c r="B54" i="3" s="1"/>
  <c r="B55" i="3" s="1"/>
  <c r="B56" i="3" s="1"/>
  <c r="L8" i="3"/>
  <c r="L10" i="3"/>
  <c r="L12" i="3"/>
  <c r="B57" i="3" l="1"/>
  <c r="B60" i="3" s="1"/>
  <c r="L11" i="3"/>
  <c r="L13" i="3" s="1"/>
  <c r="G21" i="2" s="1"/>
  <c r="B61" i="3" l="1"/>
  <c r="B62" i="3" s="1"/>
  <c r="B37" i="2"/>
  <c r="B63" i="3" l="1"/>
  <c r="B31" i="1"/>
  <c r="B32" i="1" l="1"/>
  <c r="B33" i="1" s="1"/>
  <c r="B68" i="3"/>
  <c r="B69" i="3" s="1"/>
  <c r="B70" i="3" s="1"/>
  <c r="D15" i="2"/>
  <c r="B15" i="2"/>
  <c r="B34" i="1" l="1"/>
  <c r="B71" i="3"/>
  <c r="B74" i="3" s="1"/>
  <c r="B77" i="3" s="1"/>
  <c r="B78" i="3" s="1"/>
  <c r="B79" i="3" s="1"/>
  <c r="B80" i="3" s="1"/>
  <c r="B81" i="3" s="1"/>
  <c r="B82" i="3" s="1"/>
  <c r="B83" i="3" s="1"/>
  <c r="B86" i="3" s="1"/>
  <c r="B87" i="3" s="1"/>
  <c r="B90" i="3" s="1"/>
  <c r="B93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8" i="3" s="1"/>
  <c r="B111" i="3" s="1"/>
  <c r="B114" i="3" s="1"/>
  <c r="B115" i="3" s="1"/>
  <c r="B116" i="3" s="1"/>
  <c r="B35" i="1" l="1"/>
  <c r="B117" i="3"/>
  <c r="B120" i="3" s="1"/>
  <c r="B123" i="3" s="1"/>
  <c r="B124" i="3" s="1"/>
  <c r="B125" i="3" s="1"/>
  <c r="B126" i="3" s="1"/>
  <c r="B127" i="3" s="1"/>
  <c r="B130" i="3" s="1"/>
  <c r="B131" i="3" s="1"/>
  <c r="B132" i="3" s="1"/>
  <c r="B133" i="3" s="1"/>
  <c r="B136" i="3" s="1"/>
  <c r="B137" i="3" s="1"/>
  <c r="B138" i="3" s="1"/>
  <c r="J22" i="1"/>
  <c r="H22" i="1"/>
  <c r="B36" i="1" l="1"/>
  <c r="B39" i="1" s="1"/>
  <c r="B139" i="3"/>
  <c r="B142" i="3" s="1"/>
  <c r="B143" i="3" s="1"/>
  <c r="B148" i="3" s="1"/>
  <c r="B151" i="3" s="1"/>
  <c r="B154" i="3" s="1"/>
  <c r="B157" i="3" s="1"/>
  <c r="B160" i="3" s="1"/>
  <c r="B163" i="3" s="1"/>
  <c r="B164" i="3" s="1"/>
  <c r="I21" i="1"/>
  <c r="J21" i="1" s="1"/>
  <c r="G21" i="1"/>
  <c r="K22" i="1"/>
  <c r="K21" i="1" s="1"/>
  <c r="B42" i="1" l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119" i="1" s="1"/>
  <c r="B167" i="3"/>
  <c r="L21" i="1"/>
  <c r="H21" i="1"/>
  <c r="B64" i="1" l="1"/>
  <c r="B120" i="1"/>
  <c r="B98" i="1"/>
  <c r="B168" i="3"/>
  <c r="B169" i="3" s="1"/>
  <c r="B170" i="3" s="1"/>
  <c r="B171" i="3" s="1"/>
  <c r="B172" i="3" s="1"/>
  <c r="B173" i="3" s="1"/>
  <c r="B174" i="3" s="1"/>
  <c r="B175" i="3" s="1"/>
  <c r="B178" i="3" s="1"/>
  <c r="B179" i="3" s="1"/>
  <c r="B180" i="3" s="1"/>
  <c r="B181" i="3" s="1"/>
  <c r="B184" i="3" s="1"/>
  <c r="B185" i="3" s="1"/>
  <c r="B21" i="1"/>
  <c r="B20" i="1"/>
  <c r="B69" i="1" l="1"/>
  <c r="B124" i="1" s="1"/>
  <c r="B118" i="1"/>
  <c r="B122" i="1"/>
  <c r="B123" i="1"/>
  <c r="B121" i="1"/>
  <c r="B186" i="3"/>
  <c r="B189" i="3" s="1"/>
  <c r="B192" i="3" s="1"/>
  <c r="B195" i="3" s="1"/>
  <c r="B196" i="3" s="1"/>
  <c r="B197" i="3" s="1"/>
  <c r="B198" i="3" s="1"/>
  <c r="B70" i="1" l="1"/>
  <c r="B125" i="1" s="1"/>
  <c r="B199" i="3"/>
  <c r="B202" i="3" l="1"/>
  <c r="B203" i="3" s="1"/>
  <c r="B204" i="3" s="1"/>
  <c r="B209" i="3" s="1"/>
  <c r="B210" i="3" s="1"/>
  <c r="B211" i="3" s="1"/>
  <c r="B214" i="3" s="1"/>
  <c r="B215" i="3" s="1"/>
  <c r="B216" i="3" s="1"/>
  <c r="B217" i="3" s="1"/>
  <c r="B222" i="3" s="1"/>
  <c r="B223" i="3" s="1"/>
  <c r="B224" i="3" s="1"/>
  <c r="B225" i="3" s="1"/>
  <c r="B226" i="3" s="1"/>
  <c r="B229" i="3" s="1"/>
  <c r="B230" i="3" s="1"/>
  <c r="B231" i="3" s="1"/>
  <c r="B232" i="3" s="1"/>
  <c r="B233" i="3" s="1"/>
  <c r="B71" i="1"/>
  <c r="B126" i="1" s="1"/>
  <c r="B236" i="3" l="1"/>
  <c r="B237" i="3" s="1"/>
  <c r="B238" i="3" s="1"/>
  <c r="B239" i="3" s="1"/>
  <c r="B72" i="1"/>
  <c r="B240" i="3" l="1"/>
  <c r="B243" i="3" s="1"/>
  <c r="B244" i="3" s="1"/>
  <c r="B245" i="3" s="1"/>
  <c r="B246" i="3" s="1"/>
  <c r="B247" i="3" s="1"/>
  <c r="B73" i="1"/>
  <c r="B248" i="3" l="1"/>
  <c r="B249" i="3" s="1"/>
  <c r="B250" i="3" s="1"/>
  <c r="B74" i="1"/>
  <c r="B251" i="3" l="1"/>
  <c r="B254" i="3" s="1"/>
  <c r="B75" i="1"/>
  <c r="B257" i="3" l="1"/>
  <c r="B258" i="3" s="1"/>
  <c r="B259" i="3" s="1"/>
  <c r="B260" i="3" s="1"/>
  <c r="B261" i="3" s="1"/>
  <c r="B262" i="3" s="1"/>
  <c r="B263" i="3" s="1"/>
  <c r="B264" i="3" s="1"/>
  <c r="B265" i="3" s="1"/>
  <c r="B268" i="3" s="1"/>
  <c r="B269" i="3" s="1"/>
  <c r="B270" i="3" s="1"/>
  <c r="B78" i="1"/>
  <c r="J136" i="1"/>
  <c r="J137" i="1"/>
  <c r="K137" i="1" s="1"/>
  <c r="H28" i="1"/>
  <c r="L5" i="1" s="1"/>
  <c r="E20" i="2" s="1"/>
  <c r="B271" i="3" l="1"/>
  <c r="B274" i="3" s="1"/>
  <c r="B275" i="3" s="1"/>
  <c r="B276" i="3" s="1"/>
  <c r="B277" i="3" s="1"/>
  <c r="B280" i="3" s="1"/>
  <c r="B281" i="3" s="1"/>
  <c r="B282" i="3" s="1"/>
  <c r="B283" i="3" s="1"/>
  <c r="B284" i="3" s="1"/>
  <c r="B285" i="3" s="1"/>
  <c r="B79" i="1"/>
  <c r="I28" i="1"/>
  <c r="J28" i="1" s="1"/>
  <c r="L6" i="1" s="1"/>
  <c r="F20" i="2" s="1"/>
  <c r="K136" i="1"/>
  <c r="K28" i="1" s="1"/>
  <c r="L8" i="1"/>
  <c r="B294" i="3" l="1"/>
  <c r="B295" i="3" s="1"/>
  <c r="B298" i="3" s="1"/>
  <c r="B99" i="1"/>
  <c r="B80" i="1"/>
  <c r="L28" i="1"/>
  <c r="L9" i="1"/>
  <c r="L7" i="1"/>
  <c r="B299" i="3" l="1"/>
  <c r="B300" i="3" s="1"/>
  <c r="B100" i="1"/>
  <c r="B81" i="1"/>
  <c r="B82" i="1" s="1"/>
  <c r="L12" i="1"/>
  <c r="L10" i="1"/>
  <c r="B301" i="3" l="1"/>
  <c r="B304" i="3" s="1"/>
  <c r="B305" i="3" s="1"/>
  <c r="B306" i="3" s="1"/>
  <c r="B102" i="1"/>
  <c r="B83" i="1"/>
  <c r="B104" i="1"/>
  <c r="B103" i="1"/>
  <c r="B101" i="1"/>
  <c r="L11" i="1"/>
  <c r="L13" i="1" s="1"/>
  <c r="G20" i="2" s="1"/>
  <c r="B307" i="3" l="1"/>
  <c r="B312" i="3" s="1"/>
  <c r="B313" i="3" s="1"/>
  <c r="B84" i="1"/>
  <c r="B20" i="2"/>
  <c r="G23" i="2"/>
  <c r="B314" i="3" l="1"/>
  <c r="B315" i="3" s="1"/>
  <c r="B320" i="3" s="1"/>
  <c r="B323" i="3" s="1"/>
  <c r="B333" i="3" s="1"/>
  <c r="B105" i="1"/>
  <c r="B85" i="1"/>
  <c r="B21" i="2"/>
  <c r="B27" i="2" s="1"/>
  <c r="B328" i="3" l="1"/>
  <c r="B336" i="3" s="1"/>
  <c r="B86" i="1"/>
  <c r="B106" i="1"/>
  <c r="B28" i="2"/>
  <c r="B31" i="2" s="1"/>
  <c r="B107" i="1" l="1"/>
  <c r="B87" i="1"/>
  <c r="B32" i="2"/>
  <c r="B34" i="2" s="1"/>
  <c r="B33" i="2"/>
  <c r="B108" i="1" l="1"/>
  <c r="B88" i="1"/>
  <c r="B35" i="2"/>
  <c r="B109" i="1" l="1"/>
  <c r="B89" i="1"/>
  <c r="B112" i="1" l="1"/>
  <c r="B110" i="1"/>
  <c r="B111" i="1"/>
  <c r="B113" i="1"/>
  <c r="B90" i="1"/>
  <c r="B114" i="1" s="1"/>
  <c r="B91" i="1" l="1"/>
  <c r="B92" i="1" s="1"/>
  <c r="B115" i="1" l="1"/>
  <c r="B93" i="1"/>
  <c r="B94" i="1" s="1"/>
  <c r="B116" i="1" l="1"/>
  <c r="B95" i="1"/>
  <c r="B117" i="1"/>
  <c r="B96" i="1" l="1"/>
  <c r="B129" i="1" s="1"/>
  <c r="B132" i="1" l="1"/>
  <c r="B133" i="1" s="1"/>
  <c r="B136" i="1" s="1"/>
  <c r="B137" i="1" s="1"/>
  <c r="B140" i="1" s="1"/>
  <c r="B141" i="1" s="1"/>
  <c r="B142" i="1" s="1"/>
  <c r="B143" i="1" s="1"/>
  <c r="B146" i="1" s="1"/>
  <c r="B147" i="1" s="1"/>
  <c r="B150" i="1" s="1"/>
  <c r="B153" i="1" s="1"/>
  <c r="B156" i="1" s="1"/>
  <c r="B159" i="1" s="1"/>
  <c r="B160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8" i="1" s="1"/>
  <c r="B179" i="1" s="1"/>
  <c r="B182" i="1" s="1"/>
  <c r="B183" i="1" s="1"/>
  <c r="B184" i="1" l="1"/>
  <c r="B185" i="1" s="1"/>
  <c r="B188" i="1" s="1"/>
  <c r="B189" i="1" l="1"/>
  <c r="B192" i="1" s="1"/>
  <c r="B195" i="1" s="1"/>
  <c r="B200" i="1" l="1"/>
  <c r="B201" i="1" s="1"/>
  <c r="B202" i="1" s="1"/>
  <c r="B203" i="1" l="1"/>
  <c r="B204" i="1" s="1"/>
  <c r="B205" i="1" l="1"/>
  <c r="B208" i="1" s="1"/>
  <c r="B209" i="1" s="1"/>
  <c r="B212" i="1" s="1"/>
  <c r="B213" i="1" s="1"/>
  <c r="B214" i="1" s="1"/>
  <c r="B215" i="1" s="1"/>
  <c r="B216" i="1" s="1"/>
  <c r="B219" i="1" s="1"/>
  <c r="B220" i="1" s="1"/>
  <c r="B221" i="1" s="1"/>
  <c r="B222" i="1" s="1"/>
  <c r="B223" i="1" s="1"/>
  <c r="B224" i="1" s="1"/>
  <c r="B225" i="1" s="1"/>
  <c r="B228" i="1" s="1"/>
  <c r="B229" i="1" s="1"/>
  <c r="B230" i="1" s="1"/>
  <c r="B231" i="1" s="1"/>
  <c r="B234" i="1" s="1"/>
  <c r="B237" i="1" s="1"/>
  <c r="B238" i="1" s="1"/>
  <c r="B239" i="1" s="1"/>
  <c r="B242" i="1" s="1"/>
  <c r="B251" i="1" l="1"/>
  <c r="B254" i="1" s="1"/>
  <c r="B255" i="1" l="1"/>
  <c r="B258" i="1" s="1"/>
  <c r="B261" i="1" s="1"/>
  <c r="B264" i="1" s="1"/>
  <c r="B265" i="1" s="1"/>
  <c r="B270" i="1" s="1"/>
  <c r="B271" i="1" s="1"/>
  <c r="B272" i="1" s="1"/>
  <c r="B273" i="1" s="1"/>
  <c r="B276" i="1" s="1"/>
  <c r="B277" i="1" s="1"/>
  <c r="B278" i="1" s="1"/>
  <c r="B281" i="1" s="1"/>
  <c r="B282" i="1" s="1"/>
  <c r="B283" i="1" s="1"/>
  <c r="B286" i="1" s="1"/>
  <c r="B287" i="1" s="1"/>
  <c r="B288" i="1" s="1"/>
  <c r="B289" i="1" s="1"/>
  <c r="B303" i="1" s="1"/>
  <c r="B302" i="1" l="1"/>
  <c r="B296" i="1"/>
  <c r="B304" i="1" s="1"/>
  <c r="B299" i="1" l="1"/>
  <c r="B307" i="1" s="1"/>
</calcChain>
</file>

<file path=xl/sharedStrings.xml><?xml version="1.0" encoding="utf-8"?>
<sst xmlns="http://schemas.openxmlformats.org/spreadsheetml/2006/main" count="1032" uniqueCount="462">
  <si>
    <t>CONSTRUCTION COST ESTIMATE BREAKDOWN</t>
  </si>
  <si>
    <t>ITEM DESCRIPTION</t>
  </si>
  <si>
    <t>CONTRACTOR</t>
  </si>
  <si>
    <t>ADDRESS</t>
  </si>
  <si>
    <t>LINE
TOTAL</t>
  </si>
  <si>
    <t>LINE
NO.</t>
  </si>
  <si>
    <t>UNIT OF
MEASURE</t>
  </si>
  <si>
    <t>GENERAL REQUIREMENTS</t>
  </si>
  <si>
    <t>CONCRETE</t>
  </si>
  <si>
    <t>TOTAL COST</t>
  </si>
  <si>
    <t>UNIT PRICE</t>
  </si>
  <si>
    <t>LABOR</t>
  </si>
  <si>
    <t>MATERIAL</t>
  </si>
  <si>
    <t xml:space="preserve">QUANTITY </t>
  </si>
  <si>
    <t>EXTERIOR IMPROVEMENTS</t>
  </si>
  <si>
    <t>PROJECT LOCATION</t>
  </si>
  <si>
    <t>TOTAL MATERIAL COST</t>
  </si>
  <si>
    <t>TOTAL LABOR COST</t>
  </si>
  <si>
    <t>SUBTOTAL</t>
  </si>
  <si>
    <t>SALES TAX</t>
  </si>
  <si>
    <t>LABOR BURDEN</t>
  </si>
  <si>
    <t>BONDING</t>
  </si>
  <si>
    <t xml:space="preserve">CONTINGENCY / WASTAGE </t>
  </si>
  <si>
    <t>PROPOSED PROJECT AMOUNT</t>
  </si>
  <si>
    <t>SCOPE OF WORK</t>
  </si>
  <si>
    <t>DATE</t>
  </si>
  <si>
    <t>OVERHEAD &amp; PROFIT</t>
  </si>
  <si>
    <t>TOTAL MANHOURS</t>
  </si>
  <si>
    <t>DIV. 01</t>
  </si>
  <si>
    <t>DIV. 03</t>
  </si>
  <si>
    <t>DIV. 32</t>
  </si>
  <si>
    <t>DWG REF./
CSI SEC.</t>
  </si>
  <si>
    <t>PROJECT NAME</t>
  </si>
  <si>
    <t>LS</t>
  </si>
  <si>
    <t>SUBTOTAL MATERIAL</t>
  </si>
  <si>
    <t>SUMMARY</t>
  </si>
  <si>
    <t>TOTAL PROJECT COST</t>
  </si>
  <si>
    <t>TRADE
TOTAL W/ S.TAX, O&amp;P</t>
  </si>
  <si>
    <t>CSI DIV.</t>
  </si>
  <si>
    <t>DESCRIPTION</t>
  </si>
  <si>
    <t>MATERIAL COST</t>
  </si>
  <si>
    <t>LABOR
COST</t>
  </si>
  <si>
    <t>TOTAL
COST</t>
  </si>
  <si>
    <t>LINE NO.</t>
  </si>
  <si>
    <t>SF</t>
  </si>
  <si>
    <t>CY</t>
  </si>
  <si>
    <t>LF</t>
  </si>
  <si>
    <t>EA</t>
  </si>
  <si>
    <t>EXCAVATION REQUIRED</t>
  </si>
  <si>
    <t>SITE WORK</t>
  </si>
  <si>
    <t>FOOTINGS</t>
  </si>
  <si>
    <t>WIRE MESH</t>
  </si>
  <si>
    <t>PAVEMENT</t>
  </si>
  <si>
    <t>PAVEMENT MARKING</t>
  </si>
  <si>
    <t>MISC.</t>
  </si>
  <si>
    <t>SIDEWALK</t>
  </si>
  <si>
    <t>RAMP</t>
  </si>
  <si>
    <t>GATES</t>
  </si>
  <si>
    <t>EARTHWORK</t>
  </si>
  <si>
    <t>HAULOFF</t>
  </si>
  <si>
    <t>BUILDING STONE/GRAVEL BASE</t>
  </si>
  <si>
    <t>SIDEWALK &amp; RAMP GRAVEL BASE</t>
  </si>
  <si>
    <t>PAVEMENT BASES</t>
  </si>
  <si>
    <t>CONCRETE &amp; SITE WORKS</t>
  </si>
  <si>
    <t>SLAB ON GRADE</t>
  </si>
  <si>
    <t>THICKNED EDGE</t>
  </si>
  <si>
    <t>DEMOLITION</t>
  </si>
  <si>
    <t>PROTECT EXISTING TREES</t>
  </si>
  <si>
    <t>CLEARING</t>
  </si>
  <si>
    <t>CURB</t>
  </si>
  <si>
    <t>STONE SURFACING</t>
  </si>
  <si>
    <t>CONCRETE PADS</t>
  </si>
  <si>
    <t>CONCRETE PADS GRAVEL BASE</t>
  </si>
  <si>
    <t>8" THK CRUSHED STONE (COMPACTED TO 95%)</t>
  </si>
  <si>
    <t>TRADE
TOTAL</t>
  </si>
  <si>
    <t>ALT-1</t>
  </si>
  <si>
    <t>ADD ALTERNATE</t>
  </si>
  <si>
    <r>
      <t xml:space="preserve">PRE-CAST CONCRETE  BIG BLOCK RETAINING WALL  </t>
    </r>
    <r>
      <rPr>
        <b/>
        <sz val="10"/>
        <rFont val="Calibri"/>
        <family val="2"/>
        <scheme val="minor"/>
      </rPr>
      <t xml:space="preserve">(HEIGHT VARIES)
</t>
    </r>
    <r>
      <rPr>
        <sz val="10"/>
        <rFont val="Calibri"/>
        <family val="2"/>
        <scheme val="minor"/>
      </rPr>
      <t>- COMPACTED GRANULAR BACKFILL (INSTALL IN 12" LIFTS MAXIMUM)
- NON WOVEN GEOTEXTILE
- WOVEN GEOTEXTILE
- 8" THK COMPACTED GRANULAR BACKFILL (OR UNREINFORCED CONCRETE)</t>
    </r>
  </si>
  <si>
    <t>BOLLARDS</t>
  </si>
  <si>
    <t>LIGHT POLE FOOTING</t>
  </si>
  <si>
    <t>EROSION CONTROL</t>
  </si>
  <si>
    <t>ENTRANCE /EXIT PAD</t>
  </si>
  <si>
    <t>SIGNAGES</t>
  </si>
  <si>
    <t>CONCRETE ALTERNATE</t>
  </si>
  <si>
    <t>SITE ALTERNATE</t>
  </si>
  <si>
    <t>REBARS/ MESH</t>
  </si>
  <si>
    <t>LBS</t>
  </si>
  <si>
    <t>#4 REBARS</t>
  </si>
  <si>
    <t>#5 REBARS</t>
  </si>
  <si>
    <t>4" THK. CONCRETE SIDEWALK W/ POLYURETHANE SELANT EXPANSIONS JOINTS @16'-0" O.C.</t>
  </si>
  <si>
    <t>8" THK. GRAVEL BORROW BASE, COMPACTED TO 95%</t>
  </si>
  <si>
    <t>6"x6" #10 WELDED WIRE MESH</t>
  </si>
  <si>
    <t>4" THK. CONCRETE PAD FOR GAS METER</t>
  </si>
  <si>
    <t>4" THK. CONCRTEE PAD FOR CRANE POSTS.</t>
  </si>
  <si>
    <t>4" THK. CONCRETE PAD ABUTTING ASPHALT</t>
  </si>
  <si>
    <t>4" THK. CONCRETE GENERATOR PAD R/W #4 BARS @12" O.C. EACH WAY</t>
  </si>
  <si>
    <t>8" THK. CONCRETE PAD FOR DUMPSTER (BRROM-FINISH)</t>
  </si>
  <si>
    <t>18" THK. GRAVEL BORROW BASE COMPACTED TO 95% AT DUMPSTER</t>
  </si>
  <si>
    <t>8" THK. CONCRETE PAD FOR STRUCTURE (BRROM-FINISH)</t>
  </si>
  <si>
    <t>APRON</t>
  </si>
  <si>
    <t>4" THK. CONCRETE APRON W/ POLYURETHANE SELANT EXPANSIONS JOINTS @16'-0" O.C.</t>
  </si>
  <si>
    <t>PATIO</t>
  </si>
  <si>
    <t>4" THK. CONCRETE PATIO W/ POLYURETHANE SELANT EXPANSIONS JOINTS @16'-0" O.C.</t>
  </si>
  <si>
    <t>4" THK. CONCRETE RAMP W/ POLYURETHANE SELANT EXPANSIONS JOINTS @16'-0" O.C.</t>
  </si>
  <si>
    <t>5" THK. REINFORCED CONCRETE SLAB AT METAL STAIRS &amp; PLATFORMS, TIE INTO GENSET PAD W/ 3'-0" LONG #6 BARS @24" O.C. SLEEVED 1-SIDE, IMBED 18" EACH SIDE</t>
  </si>
  <si>
    <t>#6 REBARS</t>
  </si>
  <si>
    <t>4" THK. CONCRETE PATIO W/ POLYURETHANE SELANT EXPANSIONS JOINTS @16'-0" O.C. (SCORED CAST-IN PLACE CONCRETE)</t>
  </si>
  <si>
    <t>4" THK. CONCRETE UTILITY PAD</t>
  </si>
  <si>
    <t>4" THK. CONCRETE TRANSFORMER PAD</t>
  </si>
  <si>
    <t>8" THK. CONCRETE PAD FOR DUMPSTER (BR0OM-FINISH)</t>
  </si>
  <si>
    <t>GRAVEL BASE</t>
  </si>
  <si>
    <t>EXPANSION JOINTS</t>
  </si>
  <si>
    <t>CONSTRUCTION JOINTS</t>
  </si>
  <si>
    <t>RETAINING WALLS</t>
  </si>
  <si>
    <t>12" THK. CONCRETE RETAINING WALL W/ REINFORCEMENT</t>
  </si>
  <si>
    <t>FORMWORK</t>
  </si>
  <si>
    <t>FORMWORK REQUIRED</t>
  </si>
  <si>
    <t>2'-0"x2'-0" PAINETD "EV" SYMBOL</t>
  </si>
  <si>
    <t>4" WIDE CROSSWALK STRIPS</t>
  </si>
  <si>
    <t>4" WIDE YELLOW PARKING STRIPING</t>
  </si>
  <si>
    <t>ACCESSIBLE PARKING SYMBOL</t>
  </si>
  <si>
    <t>CONT. TACTILE STRIP BETWEEN BITUMIN AND CONCRETE WALK</t>
  </si>
  <si>
    <t>PAINTED TEXT "IMPOUND YARD"</t>
  </si>
  <si>
    <t>PAINTED TEXT "NO PARKING"</t>
  </si>
  <si>
    <t>PAINTED TEXT "TRAILER PARKING"</t>
  </si>
  <si>
    <t>24" WIDE STOP BAR</t>
  </si>
  <si>
    <t>EV CHARGER(220-240)V</t>
  </si>
  <si>
    <t>4" THK (3/4" WASHED) CRUSHED STONE SURFACING AT STORM BASIN</t>
  </si>
  <si>
    <t>4" THK (3/4" WASHED) CRUSHED STONE GRAVEL SURFACE</t>
  </si>
  <si>
    <t>12" THK (1-1/2" CRUSHED STONE) CONSTRUCTION ENTRANCE
- GEOTEXTILE FABRIC
SIZE: 20' x 50'</t>
  </si>
  <si>
    <t>SILTATION BARRIER</t>
  </si>
  <si>
    <t>EROSION CONTROL BARRIER, TWO (2) 1"x1"x24" TO FORM AN X BEHIND THE WATTLE, 12" APART AT BASE SPACED 36"
- WOOD STAKES, EXTERIOR TO BE BIODEGRADEABLE JUTE OR OTHER
- STRAW WATTLE(18"-24" DIA)</t>
  </si>
  <si>
    <t>DUST DRIVE</t>
  </si>
  <si>
    <t>STONE DUST DRIVE</t>
  </si>
  <si>
    <t>IRRIGATION ENCLOSURE AND WELL</t>
  </si>
  <si>
    <t>TEMPORARY CONSTRUCTION</t>
  </si>
  <si>
    <t>6'-0" HIGH TEMPORARY CONSTRUCTION FENCE AN GATES. PROVIDE "NO TRESPASSING" SIGNS</t>
  </si>
  <si>
    <t>3'-0"x3'-6" "SIDEWALK CLOSED AHEAD" MTCD COMPLIANT SIGN W/ TWO 50-LB SANDBAG ANCHORS EACH SIDE. PROVIDE 1x4 PRESSURE TREATED BASE BOARD</t>
  </si>
  <si>
    <t>REMOVE EXISTING 5" TOPSOIL</t>
  </si>
  <si>
    <r>
      <t>R1-1:</t>
    </r>
    <r>
      <rPr>
        <sz val="10"/>
        <rFont val="Calibri"/>
        <family val="2"/>
        <scheme val="minor"/>
      </rPr>
      <t xml:space="preserve"> 24" OCTAGONAL STOP SIGN W/ 7/64" GALV. COLD ROLLED STEEL POSTS @10'-0" HT. 
-PRIME AND PAINT AND PROVIDE TWO PIECE RIVET 13/16" PIN &amp; COLLAR, STAINLESS STEEL OR BOLT &amp; NUT WELDED</t>
    </r>
  </si>
  <si>
    <r>
      <t>AT-V0:</t>
    </r>
    <r>
      <rPr>
        <sz val="10"/>
        <rFont val="Calibri"/>
        <family val="2"/>
        <scheme val="minor"/>
      </rPr>
      <t xml:space="preserve"> 24"x8" "AUTHORIZED VEHICLE ONLY" SIGN </t>
    </r>
  </si>
  <si>
    <r>
      <t>R5-1:</t>
    </r>
    <r>
      <rPr>
        <sz val="10"/>
        <rFont val="Calibri"/>
        <family val="2"/>
        <scheme val="minor"/>
      </rPr>
      <t xml:space="preserve"> 24"x24" " DO NOT ENTER" SIGN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W/ 7/64" GALV. COLD ROLLED STEEL POSTS @10'-0" HT. 
-PRIME AND PAINT AND PROVIDE TWO PIECE RIVET 13/16" PIN &amp; COLLAR, STAINLESS STEEL OR BOLT &amp; NUT WELDED</t>
    </r>
  </si>
  <si>
    <r>
      <t>R7-1:</t>
    </r>
    <r>
      <rPr>
        <sz val="10"/>
        <rFont val="Calibri"/>
        <family val="2"/>
        <scheme val="minor"/>
      </rPr>
      <t xml:space="preserve"> 12"X18" "NO PARKING ANY TIME" SIGN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W/ 7/64" GALV. COLD ROLLED STEEL POSTS @10'-0" HT. 
-PRIME AND PAINT AND PROVIDE TWO PIECE RIVET 13/16" PIN &amp; COLLAR, STAINLESS STEEL OR BOLT &amp; NUT WELDED</t>
    </r>
  </si>
  <si>
    <r>
      <rPr>
        <b/>
        <sz val="10"/>
        <rFont val="Calibri"/>
        <family val="2"/>
        <scheme val="minor"/>
      </rPr>
      <t>R7-8:</t>
    </r>
    <r>
      <rPr>
        <sz val="10"/>
        <rFont val="Calibri"/>
        <family val="2"/>
        <scheme val="minor"/>
      </rPr>
      <t xml:space="preserve"> 12"X18" RESERVED PARKING SIGN W/ 12"X6" VAN ACCESSIBLE SIGN 
W/ 7/64" GALV. COLD ROLLED STEEL POSTS @10'-0" HT. 
-PRIME AND PAINT AND PROVIDE TWO PIECE RIVET 13/16" PIN &amp; COLLAR, STAINLESS STEEL OR BOLT &amp; NUT WELDED</t>
    </r>
  </si>
  <si>
    <r>
      <rPr>
        <b/>
        <sz val="10"/>
        <rFont val="Calibri"/>
        <family val="2"/>
        <scheme val="minor"/>
      </rPr>
      <t>R7-9:</t>
    </r>
    <r>
      <rPr>
        <sz val="10"/>
        <rFont val="Calibri"/>
        <family val="2"/>
        <scheme val="minor"/>
      </rPr>
      <t xml:space="preserve"> 12"X18" RESERVED PARKING SIGN
W/ 7/64" GALV. COLD ROLLED STEEL POSTS @10'-0" HT. 
-PRIME AND PAINT AND PROVIDE TWO PIECE RIVET 13/16" PIN &amp; COLLAR, STAINLESS STEEL OR BOLT &amp; NUT WELDED</t>
    </r>
  </si>
  <si>
    <r>
      <rPr>
        <b/>
        <sz val="10"/>
        <rFont val="Calibri"/>
        <family val="2"/>
        <scheme val="minor"/>
      </rPr>
      <t>R7-9:</t>
    </r>
    <r>
      <rPr>
        <sz val="10"/>
        <rFont val="Calibri"/>
        <family val="2"/>
        <scheme val="minor"/>
      </rPr>
      <t xml:space="preserve"> 12"X18" POLICE RESERVED PARKING SIGN
W/ 7/64" GALV. COLD ROLLED STEEL POSTS @10'-0" HT. 
-PRIME AND PAINT AND PROVIDE TWO PIECE RIVET 13/16" PIN &amp; COLLAR, STAINLESS STEEL OR BOLT &amp; NUT WELDED</t>
    </r>
  </si>
  <si>
    <r>
      <t>W11-2:</t>
    </r>
    <r>
      <rPr>
        <sz val="10"/>
        <rFont val="Calibri"/>
        <family val="2"/>
        <scheme val="minor"/>
      </rPr>
      <t xml:space="preserve"> 24" TRI-ANGULAR CUSTOM SIGN "DO NOT TRAVEL IN STRIPED CENTER LINE" W/ 7/64" GALV. COLD ROLLED STEEL POSTS @10'-0" HT. 
-PRIME AND PAINT AND PROVIDE TWO PIECE RIVET 13/16" PIN &amp; COLLAR, STAINLESS STEEL OR BOLT &amp; NUT WELDED</t>
    </r>
  </si>
  <si>
    <r>
      <t>W11-2:</t>
    </r>
    <r>
      <rPr>
        <sz val="10"/>
        <rFont val="Calibri"/>
        <family val="2"/>
        <scheme val="minor"/>
      </rPr>
      <t xml:space="preserve"> 24" TRI-ANGULAR CUSTOM SIGN "PEDESTRIAN CROSSING" W/ 7/64" GALV. COLD ROLLED STEEL POSTS @10'-0" HT. 
-PRIME AND PAINT AND PROVIDE TWO PIECE RIVET 13/16" PIN &amp; COLLAR, STAINLESS STEEL OR BOLT &amp; NUT WELDED</t>
    </r>
  </si>
  <si>
    <r>
      <t>W11-8:</t>
    </r>
    <r>
      <rPr>
        <sz val="10"/>
        <rFont val="Calibri"/>
        <family val="2"/>
        <scheme val="minor"/>
      </rPr>
      <t xml:space="preserve"> 24" TRI-ANGULAR SIGN "CAUTION EMERGENCY ENTERING" W/ 7/64" GALV. COLD ROLLED STEEL POSTS @10'-0" HT. 
-PRIME AND PAINT AND PROVIDE TWO PIECE RIVET 13/16" PIN &amp; COLLAR, STAINLESS STEEL OR BOLT &amp; NUT WELDED</t>
    </r>
  </si>
  <si>
    <t>CONCRETE FOOTINGS</t>
  </si>
  <si>
    <t>6" DIA. X 2'-6" HIGH CONCRETE FOOTING FOR SIGNAGES</t>
  </si>
  <si>
    <t>18" DIA. X 7'-0" HIGH PRECAST CONCRETE FOOTING/BASES  R/W #3 REBAR HOOPS @12" O.C.
-PROVIDE 6" THK. CRUSHED COMPACTED STONE BASES</t>
  </si>
  <si>
    <t>4" THK. CRUSHED STONE BASE AT UTILITY YARD</t>
  </si>
  <si>
    <t>4" THK. COMPACTED DENSE GRADED CRUSHED STONE</t>
  </si>
  <si>
    <t>8" THK. MIN. COMPACTED GRAVEL SUB-BASE</t>
  </si>
  <si>
    <t>16" THK. MIN. COMPACTED GRAVEL SUB-BASE</t>
  </si>
  <si>
    <t>LIGHT DUTY ASPHALT PAVEMENT 
- 1.5" BITUMINOUS CONCRETE TOP COURSE
OVER 2-1/2" BITUMINOUS CONCRETE BINDER COURSE</t>
  </si>
  <si>
    <t>CHAINLINK FENCE AND GATES</t>
  </si>
  <si>
    <t>4'-0" HIGH CHAINLINK FENCE ANCHORED TO RETAINING WALL
-6 GAUGE VINYL COATED FABRIC W/ VINYL COATED STEEL TIES @12" O.C.  
PROVIDE 1-5/8" O.D VINYL COATED STEEL PIPE TOP &amp; MID RAIL AND 4" O.D VINYL COATED STEEL POSTS @10'-0" O.C.
PROVIDE TENSION BAR AT CORNERS</t>
  </si>
  <si>
    <t>8'-0" HIGH CHAINLINK FENCE ANCHORED TO RETAINING WALL
-6 GAUGE VINYL COATED FABRIC W/ VINYL COATED STEEL TIES @12" O.C.  
PROVIDE 1-5/8" O.D VINYL COATED STEEL PIPE TOP &amp; MID RAIL AND 4" O.D VINYL COATED STEEL POSTS @10'-0" O.C.
PROVIDE TENSION BAR AT CORNERS</t>
  </si>
  <si>
    <t>8'-0" HIGH CHAINLINK FENCE
-6 GAUGE VINYL COATED FABRIC W/ VINYL COATED STEEL TIES @12" O.C.  
PROVIDE 1-5/8" O.D VINYL COATED STEEL PIPE TOP &amp; MID RAIL AND 4" O.D VINYL COATED STEEL POSTS @10'-0" O.C.
PROVIDE TENSION BAR AT CORNERS</t>
  </si>
  <si>
    <t>8'-0" HIGH CHAINLINK FENCE W/ PRIVACY SLATS
-6 GAUGE VINYL COATED FABRIC W/ VINYL COATED STEEL TIES @12" O.C.  
PROVIDE 1-5/8" O.D VINYL COATED STEEL PIPE TOP &amp; MID RAIL AND 4" O.D VINYL COATED STEEL POSTS @10'-0" O.C.
PROVIDE TENSION BAR AT CORNERS</t>
  </si>
  <si>
    <t>12" DIA. X 4'-0" HIGH CONCRETE FOOTING FOR FENCE</t>
  </si>
  <si>
    <t>GRAVEL BACKFILL</t>
  </si>
  <si>
    <t>2- 10'-0" WIDE x 8'-0" HIGH SWING GATES W/ WHEEL &amp; STOPS
-NO DETAILS</t>
  </si>
  <si>
    <t>28'-0" WIDE ENTRY &amp; EXIT GATES
-NO DETAILS</t>
  </si>
  <si>
    <t>8'-0" HIGH CHANLINK ENCLOSURE AROUND ANTENA W/ 10'-0" WIDE SINGLE MAN-GATE
-6 GAUGE VINYL COATED FABRIC W/ VINYL COATED STEEL TIES @12" O.C.  
PROVIDE 1-5/8" O.D VINYL COATED STEEL PIPE TOP &amp; MID RAIL AND 4" O.D VINYL COATED STEEL POSTS @10'-0" O.C.
PROVIDE TENSION BAR AT CORNERS</t>
  </si>
  <si>
    <t>4'-0" WIDE x 8'-0" CHAINLINK MANWAY GATE FOR GENERATOR</t>
  </si>
  <si>
    <t>16'-0"x8'-0" CHAIN LINK FRONT GATE FOR DUMPSTER</t>
  </si>
  <si>
    <t>FILTER DRAIN</t>
  </si>
  <si>
    <t>5'-0" WIDE 2'-0" DEEP (3/4"- 1-1/2" CLEAN TRAP ROCK) FILTER TRENCH</t>
  </si>
  <si>
    <t>6" THK. STONE SURFACE FOR ANTENA</t>
  </si>
  <si>
    <t>6" THK. CONCRETE PAD FOR CARD READER ISLAND</t>
  </si>
  <si>
    <t>GATE ENTRY CARD READER W/ 4-PROTECTIVE BOLARDS</t>
  </si>
  <si>
    <t>6" DIA x 3'-6" GALVANIZED SCHEDULE 40 PIPE BOLLARDS (CONCRETE FILLED)
- HDPE BOLLARD COVER WITH RELECTIVE TAPE</t>
  </si>
  <si>
    <t>8" DIA. x 3'-6" PIPE GALVANIZED STEEL PAINTED YELLOW CONCRETE FILLED BOLLARD</t>
  </si>
  <si>
    <t>LIT BOLLARDS 
-NO DETAILS</t>
  </si>
  <si>
    <t>4" DIA. X 3'-6" HIGH STEEL FILLE W/ CONCRETE &amp; PAINTED BOLLARDS
-PROVIDE 2" WIDE STRIPPED REFLECTIVE WARNING TAPE</t>
  </si>
  <si>
    <t>12" DIA. X 3'-6" HIGH CONCRETE FOOTING FOR BOLLARDS</t>
  </si>
  <si>
    <t>6" THK. CONCRETE PAD FOR ANTENA (ASSUMED)</t>
  </si>
  <si>
    <t>CLEAN &amp; MAINTAIN</t>
  </si>
  <si>
    <t>CLEAN EXISTING CATCH BASINS AND MAINTAIN</t>
  </si>
  <si>
    <t>24" DIA. X 7'-0" HIGH CONCRETE FOOTING FOR FLAG POLES (ASSUMED)
-PROVIDE EARTHWORK</t>
  </si>
  <si>
    <t>PAVER</t>
  </si>
  <si>
    <t>GRANITE BLOCK PAVER PATIO</t>
  </si>
  <si>
    <t>MAINTAIN AND PROTECT EXISTING DRAIN SEWER MANHOLES</t>
  </si>
  <si>
    <t>SWALE</t>
  </si>
  <si>
    <t>PAVED SWALE</t>
  </si>
  <si>
    <t>PROVIDE 2x4 PRESSURE TREATED ANCHORED SAW-HORSE ASSEMBLED W/ 10-D GALVANIZED SHANK NAILS</t>
  </si>
  <si>
    <t>REMOVE EXISITNG GRANITE CURB. PROVIDE IT TO TAUTION DPW. PLACE NEW BINDER (4" THK) COURSE</t>
  </si>
  <si>
    <t>REMOVE EXISITNG OVERHEAD WIRES</t>
  </si>
  <si>
    <t>REMOVE EXISTING GAS LINE</t>
  </si>
  <si>
    <t>REMOVE EXISTING STONE WALL. RETAIN STONES FOR FUTURE RE-USE</t>
  </si>
  <si>
    <t>SAW CUT EXISTING DRIVEWAY</t>
  </si>
  <si>
    <t>STEEL GUARD RAIL</t>
  </si>
  <si>
    <t>STEEL BEAM GUARD RAIL W/ VESTI CR-H2R-BC FLARED ENDS. ALL ENDS W/ REFLECTORS
-PROVIDE REQUIRED FOOTING AND EARTHWORK</t>
  </si>
  <si>
    <t>WOOD GUARD RAIL</t>
  </si>
  <si>
    <t>WOOD BEAM GUIDE RAIL W/ 6'-0" HIGH POSTS
-4"X10" TOP RAIL W/ 8"X8"x6'-0" POSTS @4'-0" O.C.</t>
  </si>
  <si>
    <t>EATHWORK</t>
  </si>
  <si>
    <t>GRADED GRAVEL COMPACTED BACKFILL</t>
  </si>
  <si>
    <t>3/4" CRUSHED STONE BASE</t>
  </si>
  <si>
    <t>HAULOFF EXTRA MATERIAL</t>
  </si>
  <si>
    <t>ALT-2</t>
  </si>
  <si>
    <t>DEDUCT</t>
  </si>
  <si>
    <t>ADD</t>
  </si>
  <si>
    <t>6" HIGH GRANITE CURB W/ 6"X6" CONT. BACKER BEAM OF 4000 PSI UNFORMED CONCRETE</t>
  </si>
  <si>
    <t>6" HIGH PRE-CAST CONCRETE CURB STEEL REINFORCED</t>
  </si>
  <si>
    <t>GRADING</t>
  </si>
  <si>
    <t>CUT</t>
  </si>
  <si>
    <t>FILL</t>
  </si>
  <si>
    <t>NET FILL</t>
  </si>
  <si>
    <t>C1-C3</t>
  </si>
  <si>
    <t>S801,S802</t>
  </si>
  <si>
    <t>6"THK. CONCRETE SLAB ON GRADE REINFORCED W/
-6x6-W2.9xW2.9 W.W.F.
-VAPOR BARRIER UNDER SLAB</t>
  </si>
  <si>
    <t>8"THK. x 8"H CONCRETE SLAB THICKEND EDGE REINFORCED W/
-(1) #4 CONTINUOUS REBAR</t>
  </si>
  <si>
    <t>CONTROL JOINT</t>
  </si>
  <si>
    <r>
      <rPr>
        <b/>
        <sz val="10"/>
        <rFont val="Calibri"/>
        <family val="2"/>
        <scheme val="minor"/>
      </rPr>
      <t xml:space="preserve">CJ: </t>
    </r>
    <r>
      <rPr>
        <sz val="10"/>
        <rFont val="Calibri"/>
        <family val="2"/>
        <scheme val="minor"/>
      </rPr>
      <t>CONTROL JOINT ON SLAB</t>
    </r>
  </si>
  <si>
    <t>6x6-W2.9xW2.9 W.W.F. WELDED WIRE MESH IN CONCRETE SLAB</t>
  </si>
  <si>
    <t>CONCRETE CURB</t>
  </si>
  <si>
    <t>6"THK. x 3"H CONCRETE CURB REINFORCED W/
-(1) #3 CONTINUOUS REBAR
-#3 DOWEL @ 12" O.C. (DRILL &amp; FILL CONCRETE W/ HILTI HY-100 ADHESIVE 4" MINIMUM EMBED.)</t>
  </si>
  <si>
    <t>#3 REBARS</t>
  </si>
  <si>
    <t>ISOLATED FOOTINGS</t>
  </si>
  <si>
    <r>
      <rPr>
        <b/>
        <sz val="10"/>
        <rFont val="Calibri"/>
        <family val="2"/>
        <scheme val="minor"/>
      </rPr>
      <t xml:space="preserve">F4.0A: </t>
    </r>
    <r>
      <rPr>
        <sz val="10"/>
        <rFont val="Calibri"/>
        <family val="2"/>
        <scheme val="minor"/>
      </rPr>
      <t>4'-0" x 4'-0" x 1'-0" DEEP ISOLATED FOOTING REINFORCED W/
-(6) #5 REBARS E.W., T&amp;B
-NON-WOVEN GEOTEXTILE FABRIC (SEE GEOTECHNICAL REPORT FOR ADD'L INFO)</t>
    </r>
  </si>
  <si>
    <r>
      <rPr>
        <b/>
        <sz val="10"/>
        <rFont val="Calibri"/>
        <family val="2"/>
        <scheme val="minor"/>
      </rPr>
      <t xml:space="preserve">F6.0A: </t>
    </r>
    <r>
      <rPr>
        <sz val="10"/>
        <rFont val="Calibri"/>
        <family val="2"/>
        <scheme val="minor"/>
      </rPr>
      <t>6'-0" x 6'-0" x 1'-6" DEEP ISOLATED FOOTING REINFORCED W/
-(10) #5 REBARS E.W., T&amp;B
-NON-WOVEN GEOTEXTILE FABRIC (SEE GEOTECHNICAL REPORT FOR ADD'L INFO)</t>
    </r>
  </si>
  <si>
    <r>
      <rPr>
        <b/>
        <sz val="10"/>
        <rFont val="Calibri"/>
        <family val="2"/>
        <scheme val="minor"/>
      </rPr>
      <t xml:space="preserve">F9.5A: </t>
    </r>
    <r>
      <rPr>
        <sz val="10"/>
        <rFont val="Calibri"/>
        <family val="2"/>
        <scheme val="minor"/>
      </rPr>
      <t>9'-6" x 9'-6" x 2'-0" DEEP ISOLATED FOOTING REINFORCED W/
-(14) #5 REBARS E.W., T&amp;B
-NON-WOVEN GEOTEXTILE FABRIC (SEE GEOTECHNICAL REPORT FOR ADD'L INFO)</t>
    </r>
  </si>
  <si>
    <t>PIERS</t>
  </si>
  <si>
    <r>
      <rPr>
        <b/>
        <sz val="10"/>
        <rFont val="Calibri"/>
        <family val="2"/>
        <scheme val="minor"/>
      </rPr>
      <t xml:space="preserve">P1: </t>
    </r>
    <r>
      <rPr>
        <sz val="10"/>
        <rFont val="Calibri"/>
        <family val="2"/>
        <scheme val="minor"/>
      </rPr>
      <t>1'-4" x 1'-8" x 3'-9"DEEP CONCRETE PIER REINFORCED W/
-(4) #8 VERTICAL REBARS W/
-(1) #4 TIES @ 12" O.C. (2 ADD'L TIES @ 2" O.C. AT TOP)</t>
    </r>
  </si>
  <si>
    <t>#8 REBARS</t>
  </si>
  <si>
    <t>CONTINUOUS FOOTINGS</t>
  </si>
  <si>
    <t xml:space="preserve">1'-6"THK. x 1'-0"DEEP CONTINUOUS FOOTING REINFORCED W/
-(3) #5 CONTINUOUS REBARS </t>
  </si>
  <si>
    <t xml:space="preserve">2'-0"THK. x 1'-0"DEEP CONTINUOUS FOOTING REINFORCED W/
-(3) #5 CONTINUOUS REBARS </t>
  </si>
  <si>
    <t>STEM WALLS</t>
  </si>
  <si>
    <t>6"THK. x 3'-9"H CONCRETE STEM WALL REINFORCED W/
-(2) #4 CONTINEOUS REBARS 
-#4 VERTICAL REBARS @ 12" O.C. (ALT. HOOK DIRECT EVERY OTHER BAR)</t>
  </si>
  <si>
    <t>6"THK. x 3'-9"H CONCRETE STEM WALL REINFORCED W/
-(2) #4 CONTINEOUS REBARS 
-#4 VERTICAL REBARS @ 12" O.C. (ALT. HOOK DIRECT EVERY OTHER BAR)
-#4 BENT DOWEL (24"x24") @ 12" O.C.</t>
  </si>
  <si>
    <t>6"THK. x 3'-9"H CONCRETE STEM WALL REINFORCED W/
-(2) #4 CONTINEOUS REBARS 
-#4 VERTICAL REBARS @ 12" O.C. (ALT. HOOK DIRECT EVERY OTHER BAR)
-(2) #4 BENT DOWEL (24"x24") @ 12" O.C.</t>
  </si>
  <si>
    <t>BUILDING UNDERSLAB &amp; UNDER FOOTING BASES</t>
  </si>
  <si>
    <t>S801-S802</t>
  </si>
  <si>
    <t>12"THK COMPACTED SAND &amp; GRAVEL BASE UNDER SLAB ON GRADE</t>
  </si>
  <si>
    <t>6"THK COMPACTED CRUSHED STONE UNDER CONCRETE FOOTINGS
-UNDISTURBED EARTH OR COMPACTED SAND &amp; GRAVEL OR CRUSHED STONE @ LOC'S OF DISTURBED EARTH OR UNSUITABLE SOIL (SEE GEOTECH REPORT FOR ADD'L INFO.)</t>
  </si>
  <si>
    <t>EXCAVATION</t>
  </si>
  <si>
    <t>EXCAVATION PROVIDED FOR FOOTING</t>
  </si>
  <si>
    <t>BACKFILL PROVIDED FOR FOOTING</t>
  </si>
  <si>
    <t>HAULING OFF EXTRA MATERIAL</t>
  </si>
  <si>
    <t>S100-S101B</t>
  </si>
  <si>
    <t xml:space="preserve">4" THICK. SLAB ON GRADE REINF W/ 6 x 6 - W2.9 x W2.9 W.W.F. </t>
  </si>
  <si>
    <t>6" CONCRETE SLAB ON GRADE W/ 6 x 6 W2.9 x W2.9 W.W.F. BELOW HIGH DENSITY STRONG SYSTEM</t>
  </si>
  <si>
    <t xml:space="preserve">6" THICK. CONCRETE SLAB ON GRADE W/ 6 x 6 - W2.9 x W2.9 W.W.F. </t>
  </si>
  <si>
    <t>10" CONCRETE SLAB ON GRADE REINFORCEMENT W/ #4 @ 12" O.C. E.W. T &amp;B</t>
  </si>
  <si>
    <t>12" CONCRETE SLAB ON GRADE W/#4 @ 12" O.C. E.W. T&amp;B</t>
  </si>
  <si>
    <t>8"THICK x 1'-4"H CONCRETE THICKNED EDGE W/ #4 VERT. DOWEL @12" O.C. (DRILL &amp; FILL CONCRETE W/ HILTI HY-100 ADHESIVE, OR EQUAL, 6" MIN. EMBED.) &amp; (3) CONT. #4 REBAR</t>
  </si>
  <si>
    <t>CONTROL JOINT IN TERRAZZO</t>
  </si>
  <si>
    <t>CONCRETE WALL</t>
  </si>
  <si>
    <t>8" THICK. 2'-8"H CONCRETE STEM WALL W/#4 @ 12" O.C. E,W,  CRT,D (ALT. HOOK DIRECT. EVERY OTHER BAR)</t>
  </si>
  <si>
    <t>8" THICK. 3'-2"H CONCRETE STEM WALL #4 @ 12" O.C. E.W.</t>
  </si>
  <si>
    <t>8" THICK. 3'-2"H CONCRETE STEM WALL W/#4 @ 12" O.C. E,W,  CRT,D (ALT. HOOK DIRECT. EVERY OTHER BAR)</t>
  </si>
  <si>
    <t>8" THICK. x 2'-6"H STEM WALL W/ #4 @12" O.C. CTRD (ALT. HOOK DIRECTION EVERY OTHER VERT. BAR)</t>
  </si>
  <si>
    <t>8" THICK. x 3'-2"H STEM WALL W/ #4 @12" O.C. CTRD (ALT. HOOK DIRECTION EVERY OTHER VERT. BAR)</t>
  </si>
  <si>
    <t>10" THICK. x 3'-2"H W/#4 12" O.C. E.W.E.F. STEM WALL</t>
  </si>
  <si>
    <t>10" THICK. x 4'-10"H W/#4 12" O.C. E.W.E.F. STEM WALL</t>
  </si>
  <si>
    <t>10" THICK. x 5'-0"H STEM WALL W/#4 @12" O.C. VERT. W/ MATCHING DOWELS &amp; #4 @12" O.C. HORIZ. &amp; #5 @10" O.C. VERT. W/ MATCHING DOWELS &amp; #4 12" O.C. HORIZ.</t>
  </si>
  <si>
    <t>10" THICK. x 5'-6"H STEM WALL W/#4 @12" O.C. VERT. W/ MATCHING DOWELS &amp; #4 @12" O.C. HORIZ. &amp; #5 @10" O.C. VERT. W/ MATCHING DOWELS &amp; #4 12" O.C. HORIZ.</t>
  </si>
  <si>
    <t>12" THICK. x 3'-8"H W/#4 12" O.C. E.W.E.F. STEM WALL</t>
  </si>
  <si>
    <t>1'-3" THICK. x 2'-10"H W/#4 12" O.C. E.W.E.F. STEM WALL</t>
  </si>
  <si>
    <t>1'-3" THICK. x 2'-8"H W/#4 12" O.C. E.W.E.F. STEM WALL</t>
  </si>
  <si>
    <t>1'-3" THICK. x 3'-2"H W/#4 12" O.C. E.W.E.F. STEM WALL</t>
  </si>
  <si>
    <t>1'-3" THICK. x 4'-10"H W/#4 12" O.C. E.W.E.F. STEM WALL</t>
  </si>
  <si>
    <t>1'-3" THICK. x 4'-2"H W/#4 12" O.C. E.W.E.F. STEM WALL</t>
  </si>
  <si>
    <t>1'-10" THICK. x 2'-8"H W/#4 12" O.C. E.W.E.F. STEM WALL</t>
  </si>
  <si>
    <t>1'-10" THICK. x 3'-2"H W/#4 12" O.C. E.W.E.F. STEM WALL</t>
  </si>
  <si>
    <t>FOARM WORK</t>
  </si>
  <si>
    <t>CONCRETE FOOTING</t>
  </si>
  <si>
    <t>WALL FOOTING</t>
  </si>
  <si>
    <t>18'-6" x 10'-0" x 2'-0" DEEP CONCRETE FOOTING W/ #8 @ 12" O.C. E.W T&amp;B</t>
  </si>
  <si>
    <t>20'-6" x 12'-0" x 2'-6" DEEP CONCRETE FOOTING W/ #8 @12" O.C. E.W. T&amp; B</t>
  </si>
  <si>
    <t>2'-3"W x 1'-0"H CONCRETE FOOTING W/ (3) #5 REBARS CONTINUE</t>
  </si>
  <si>
    <t>2'-10"W x 1'-0"H CONCRETE FOOTING W/ (4) #5 REBARS CONTINUE</t>
  </si>
  <si>
    <t>2'-0"W x 1'-0"H CONCRETE FOOTING W/ (3) #5 REBARS CONTINUE</t>
  </si>
  <si>
    <t>4'-0"W x 1'-0"H CONCRETE FOOTING W/ (3) #5 REBARS CONTINUE</t>
  </si>
  <si>
    <t>6'-11"W x 12" THICK. CONCRETE FOOTING W/ #5 BARS @ 10" O.C .E.W.</t>
  </si>
  <si>
    <t>COLUMN FOOTING</t>
  </si>
  <si>
    <t>F3.0: 3'-0" x 3'-0" x 1'-0" CONCRETE FOOTING W/ (5) #5 E.W. BOTTOM</t>
  </si>
  <si>
    <t>F3.0A:3'-0" x 3'-0" x 1'-0"  CONCRETE FOOTING W/ (5) #5 E.W. T&amp;B</t>
  </si>
  <si>
    <t>F3.0B:3'-0" x 3'-0" x 1'-4"  CONCRETE FOOTING W/ (5) #5 E.W. BOTTOM</t>
  </si>
  <si>
    <t>F4.0: 4'-0" x 4'-0" x 1'-0"  CONCRETE FOOTING W/ (6) #5 E.W. BOTTOM</t>
  </si>
  <si>
    <t>F4.0A:4'-0" x 4'-0" x 1'-0" CONCRETE FOOTING  W/ (6) #5 E.W. T&amp;B</t>
  </si>
  <si>
    <t>F4.0B: 4'-0" x 4'-0" x 1'-4" CONCRETE FOOTING  W/ (6) #5 E.W. BOTTOM</t>
  </si>
  <si>
    <t>F4.0D: 4'-0" x 5'-6" x 1'-0" CONCRETE FOOTING  (6)#5 LONG DIRECT T&amp; B &amp; (8) #5 SHORT DIRECT. T&amp;B</t>
  </si>
  <si>
    <t>F5.0A: 5'-0" x 5'-0" x 1'-0" CONCRETE FOOTING  (7)#5 E.W.T&amp;B</t>
  </si>
  <si>
    <t>F5.0B: 5'-0" x 5'-0" x 1'-4" CONCRETE FOOTING  (7)#5 E.W. BOTTOM</t>
  </si>
  <si>
    <t>F5.0C: 4'-0" x 6'-6" x 1'-4" CONCRETE FOOTING  W/(7)#5 LONG DIRECT T&amp;B (10)#5 SHORT DIRECT. T&amp;B</t>
  </si>
  <si>
    <t>F6.0: 6'-0" x 6'-0" x 1'-6" CONCRETE FOOTING  (10)#5 E.W. BOTTOM</t>
  </si>
  <si>
    <t>F6.0A: 6'-0" x 6'-0" x 1'-6" CONCRETE FOOTING  (10)#5 E.W. T&amp;B</t>
  </si>
  <si>
    <t>F7.0: 7'-0" x 7'-0" x 1'-6" CONCRETE FOOTING  (12)#5 E.W. BOTTOM</t>
  </si>
  <si>
    <t>F7.0A: 7'-0" x 7'-0" x 1'-6" CONCRETE FOOTING  (12)#5 E.W. T&amp;B</t>
  </si>
  <si>
    <t>F8.0: 8'-0" x 8'-0" x 1'-6" CONCRETE FOOTING  (14) #5 E.W. BOTTOM</t>
  </si>
  <si>
    <t>F8.0A: 8'-0" x 8'-0" x 2'-0" CONCRETE FOOTING  (11) #6 E.W. T&amp;B</t>
  </si>
  <si>
    <t>F9.0A: 9'-0" x 9'-0" x 2'-0" CONCRETE FOOTING  W/ (11) #6 E.W. T&amp;B</t>
  </si>
  <si>
    <t>F10.0A: 10'-0" x 10'-0" x 2'-6" CONCRETE FOOTING  W/ (10) #8 E.W. T&amp;B</t>
  </si>
  <si>
    <t>F12.0A: 12'-0" x 12'-0" x 2'-10" CONCRETE FOOTING  W/ (12) #8 E.W. T&amp;B</t>
  </si>
  <si>
    <t>6 x 6 - W2.9 x W2.9 W.W.F. WELDED WIRE MESH</t>
  </si>
  <si>
    <t>INSULATION</t>
  </si>
  <si>
    <t>RIGID INSULATION (COORD. W/ ARCH.) AT STEM WALL</t>
  </si>
  <si>
    <t>VAPOR BARRIER</t>
  </si>
  <si>
    <t>VAPOR BARRIER  AT STEM WALL</t>
  </si>
  <si>
    <t>12" THICK COMPACTED SAND &amp; GRAVEL FOR SLAB</t>
  </si>
  <si>
    <t>12" THICK COMPACTED SAND &amp; GRAVEL FOR RAMP</t>
  </si>
  <si>
    <t>6" THICK COMPACTED CRUSHED STONE FOR FOOTING</t>
  </si>
  <si>
    <t>EARTHWORK (FOOTING, WALL &amp; TRENCHING)</t>
  </si>
  <si>
    <t>EARTHWORK FOR STEM WALL</t>
  </si>
  <si>
    <t>EXCAVATION REQUIRED FOR STEM WALL</t>
  </si>
  <si>
    <t xml:space="preserve">COMPACTED BACKFILL </t>
  </si>
  <si>
    <t>EARTHWORK FOR FOOTING</t>
  </si>
  <si>
    <t>EXCAVATION REQUIRED FOR FOOTING</t>
  </si>
  <si>
    <t>EARTHWORK (TRENCHING)</t>
  </si>
  <si>
    <t>PU101,PU102</t>
  </si>
  <si>
    <t>EARTHWORK FOR PIPING</t>
  </si>
  <si>
    <t>EXCAVATION REQUIRED FOR PIPING</t>
  </si>
  <si>
    <t>TAUNTON PUBLIC SAFETY COMPLEX</t>
  </si>
  <si>
    <t>90 COUNTY STREET, TAUTON MA</t>
  </si>
  <si>
    <t>DIV. 33</t>
  </si>
  <si>
    <t>UTILITIES</t>
  </si>
  <si>
    <t>CONCRETE ENCASEMENT</t>
  </si>
  <si>
    <t>COMPACTED BACKFILL - PROVIDE WARNING TAPE</t>
  </si>
  <si>
    <t>ESU101</t>
  </si>
  <si>
    <t>PIPING</t>
  </si>
  <si>
    <t>C-3,C-4</t>
  </si>
  <si>
    <t>4" DICL LOOP WATER LINE</t>
  </si>
  <si>
    <t>6" DICL LOOP WATER LINE</t>
  </si>
  <si>
    <t>8" DICL LOOP WATER LINE</t>
  </si>
  <si>
    <t>6" FIRE SERVICE LINE</t>
  </si>
  <si>
    <t>12"-18" HDPE DRAIN LINE</t>
  </si>
  <si>
    <t>ROOF DRAIN LINE</t>
  </si>
  <si>
    <t>SEWER LINE</t>
  </si>
  <si>
    <t>4" THICK POLYSTYRENE INSULATION OVER ROOF DRAIN</t>
  </si>
  <si>
    <t>OVERHEAD WIRES</t>
  </si>
  <si>
    <t>VALVE</t>
  </si>
  <si>
    <t>6" GATE VALVE</t>
  </si>
  <si>
    <t>DRAINAGE</t>
  </si>
  <si>
    <t>12" DIA  x5'-0" DEEP PRECAST CONCRETE CATCH BASIN
- 1-1/2" TOP COURSE
- 2-1/2" BINDER COURSE
- MORTAR TO BINDER GRADE
- ADJUST TO GRADE WITH TWO COURSES OF BRICK MASONRY
- FLAT SLAB WITH 24" OPENING CAST ECCENTRICALLY
- CONCRETE STRENGTH 4,000 PSI @ 28 DAYS
- CEMENT PORTLAND TYPE II PER ASTM C150
- DESIGN LOADING PER AASHTO HS-20
- PRECAST CONCRETE BASE AND RISER SECTION</t>
  </si>
  <si>
    <t>12" DIA  x5'-0" DEEP DRAIN CATCH BASIN
- 1-1/2" TOP COURSE
- 2-1/2" BINDER COURSE
- MORTAR TO BINDER GRADE
- ADJUST TO GRADE WITH TWO COURSES OF BRICK MASONRY
- FLAT SLAB WITH 24" OPENING CAST ECCENTRICALLY
- CONCRETE STRENGTH 4,000 PSI @ 28 DAYS
- CEMENT PORTLAND TYPE II PER ASTM C150
- DESIGN LOADING PER AASHTO HS-20
- PRECAST CONCRETE BASE AND RISER SECTION</t>
  </si>
  <si>
    <t>12" DIA  x8'-0" DEEP DRAIN MANHOLE
- 2-1/2" BINDER COURSE
- MORTAR TO BINDER GRADE
- ADJUST TO GRADE WITH TWO COURSES OF BRICK MASONRY
- CAST ALUMINUM ALLOY OR STEEL-REINFORCED COPOLYMER POLYPROPYLENE PLASTIC RUNGS 1/4" WIDE WITH ABRASIVE STEP SURFACE 
- BITUMASTIC WATERPROOF COATING
- ALL JOINTS SEALED WITH ROUND RUBBER "0" RING OR APPROVED PERFORATED FLEXIBLE JOINT SEALANT 
- BRICK SEWER INVERT (BRICKS LAID ON EDGE)
- BRICK CHIPS AND MOTOR OR CEMENT CONCRETE
- CONCRETE STRENGTH 4,000 PSI @ 28 DAYS
- CEMENT PORTLAND TYPE II PER ASTM C150
- DESIGN LOADING PER AASHTO HS-20
- PRECAST CONCRETE BASE AND RISER SECTION</t>
  </si>
  <si>
    <t>15" DIA  x8'-0" DEEP DRAIN MANHOLE
- 2-1/2" BINDER COURSE
- MORTAR TO BINDER GRADE
- ADJUST TO GRADE WITH TWO COURSES OF BRICK MASONRY
- CAST ALUMINUM ALLOY OR STEEL-REINFORCED COPOLYMER POLYPROPYLENE PLASTIC RUNGS 1/4" WIDE WITH ABRASIVE STEP SURFACE 
- BITUMASTIC WATERPROOF COATING
- ALL JOINTS SEALED WITH ROUND RUBBER "0" RING OR APPROVED PERFORATED FLEXIBLE JOINT SEALANT 
- BRICK SEWER INVERT (BRICKS LAID ON EDGE)
- BRICK CHIPS AND MOTOR OR CEMENT CONCRETE
- CONCRETE STRENGTH 4,000 PSI @ 28 DAYS
- CEMENT PORTLAND TYPE II PER ASTM C150
- DESIGN LOADING PER AASHTO HS-20
- PRECAST CONCRETE BASE AND RISER SECTION</t>
  </si>
  <si>
    <t>18" DIA  x8'-0" DEEP DRAIN MANHOLE
- 2-1/2" BINDER COURSE
- MORTAR TO BINDER GRADE
- ADJUST TO GRADE WITH TWO COURSES OF BRICK MASONRY
- CAST ALUMINUM ALLOY OR STEEL-REINFORCED COPOLYMER POLYPROPYLENE PLASTIC RUNGS 1/4" WIDE WITH ABRASIVE STEP SURFACE 
- BITUMASTIC WATERPROOF COATING
- ALL JOINTS SEALED WITH ROUND RUBBER "0" RING OR APPROVED PERFORATED FLEXIBLE JOINT SEALANT 
- BRICK SEWER INVERT (BRICKS LAID ON EDGE)
- BRICK CHIPS AND MOTOR OR CEMENT CONCRETE
- CONCRETE STRENGTH 4,000 PSI @ 28 DAYS
- CEMENT PORTLAND TYPE II PER ASTM C150
- DESIGN LOADING PER AASHTO HS-20
- PRECAST CONCRETE BASE AND RISER SECTION</t>
  </si>
  <si>
    <t>18" DIA  x8'-0" DEEP SEWER 
- 2-1/2" BINDER COURSE
- MORTAR TO BINDER GRADE
- ADJUST TO GRADE WITH TWO COURSES OF BRICK MASONRY
- CAST ALUMINUM ALLOY OR STEEL-REINFORCED COPOLYMER POLYPROPYLENE PLASTIC RUNGS 1/4" WIDE WITH ABRASIVE STEP SURFACE 
- BITUMASTIC WATERPROOF COATING
- ALL JOINTS SEALED WITH ROUND RUBBER "0" RING OR APPROVED PERFORATED FLEXIBLE JOINT SEALANT 
- BRICK SEWER INVERT (BRICKS LAID ON EDGE)
- BRICK CHIPS AND MOTOR OR CEMENT CONCRETE
- CONCRETE STRENGTH 4,000 PSI @ 28 DAYS
- CEMENT PORTLAND TYPE II PER ASTM C150
- DESIGN LOADING PER AASHTO HS-20
- PRECAST CONCRETE BASE AND RISER SECTION</t>
  </si>
  <si>
    <r>
      <rPr>
        <b/>
        <sz val="10"/>
        <rFont val="Calibri"/>
        <family val="2"/>
        <scheme val="minor"/>
      </rPr>
      <t>AD-1:</t>
    </r>
    <r>
      <rPr>
        <sz val="10"/>
        <rFont val="Calibri"/>
        <family val="2"/>
        <scheme val="minor"/>
      </rPr>
      <t xml:space="preserve"> AREA DRAIN</t>
    </r>
  </si>
  <si>
    <t>ELECTRIC MANHOLE</t>
  </si>
  <si>
    <t>TELEPHONE MANHOLE</t>
  </si>
  <si>
    <t>EXCAVATION PROVIDED FOR DRAINAGE FOOTING</t>
  </si>
  <si>
    <t>BASIN</t>
  </si>
  <si>
    <t>STORMWATER BASIN A:
NOTE: ALL BASINS SHELL BE 3/4" - 1-1/2" CRUSHED WASHED STONE IN A MINIMUM DEPTH OF 3".</t>
  </si>
  <si>
    <t>STORMWATER BASIN D:
NOTE: ALL BASINS SHELL BE 3/4" - 1-1/2" CRUSHED WASHED STONE IN A MINIMUM DEPTH OF 3".</t>
  </si>
  <si>
    <t>STORMWATER BASIN F:
NOTE: ALL BASINS SHELL BE 3/4" - 1-1/2" CRUSHED WASHED STONE IN A MINIMUM DEPTH OF 3".</t>
  </si>
  <si>
    <t>STORMWATER BASIN E:
NOTE: ALL BASINS SHELL BE 3/4" - 1-1/2" CRUSHED WASHED STONE IN A MINIMUM DEPTH OF 3".</t>
  </si>
  <si>
    <t>4" SUBDRAIN</t>
  </si>
  <si>
    <t>15" FES: FLARED END SECTION</t>
  </si>
  <si>
    <t>18" FES: FLARED END SECTION</t>
  </si>
  <si>
    <t>GAS / SAND TRAP</t>
  </si>
  <si>
    <t>OCS-C:</t>
  </si>
  <si>
    <t>HYDRANT</t>
  </si>
  <si>
    <t>6" THICK. SLAB ON GRADE RAMP W/ 6 x 6 W2.9 x W2.9 W.W.F</t>
  </si>
  <si>
    <t>VAPOR BARRIER AT SLAB ON GRADE</t>
  </si>
  <si>
    <t>RIGID INSULATION (COORD. W/ ARCH.) AT SLAB ON GRADE</t>
  </si>
  <si>
    <t>PROTECT &amp; PRESERVE</t>
  </si>
  <si>
    <t>TRUCKING</t>
  </si>
  <si>
    <t>HRS</t>
  </si>
  <si>
    <t>4" DIA PERFORATED PIPE</t>
  </si>
  <si>
    <t>PRECAST RETAINING WALL</t>
  </si>
  <si>
    <t>TRECHING</t>
  </si>
  <si>
    <t>PERMITS</t>
  </si>
  <si>
    <t>SITE SUPERVISION</t>
  </si>
  <si>
    <t>FINAL CLEANUP</t>
  </si>
  <si>
    <t>DUMPSTER</t>
  </si>
  <si>
    <t>FIRE TRAINING COMPLEX</t>
  </si>
  <si>
    <t>ALT-3</t>
  </si>
  <si>
    <t>ALTERNATE CURBING</t>
  </si>
  <si>
    <t>ALT-4</t>
  </si>
  <si>
    <t>IRRIGATION</t>
  </si>
  <si>
    <t>CARPORT</t>
  </si>
  <si>
    <t>EARTH WORK</t>
  </si>
  <si>
    <t>1'-4" x  1'-4" x 3'-6"H ISOLATED FOOTING W/ (8)8# VERT. TIES &amp; (2)#4 @ 12" O.C. (4AD'L TIES @ 2" O.C. TOP)</t>
  </si>
  <si>
    <t>REBARS</t>
  </si>
  <si>
    <t>PIERS FOOTINGS</t>
  </si>
  <si>
    <t>OPERAION BUILDING</t>
  </si>
  <si>
    <t>4" THK. CONCRETE SLAB R/W 6X6-W2.9xW2.9 W.W.F OVER VAPOR BARRIER OVER RIGID INSULATION</t>
  </si>
  <si>
    <t>6" THK. CONCRETE SLAB R/W 6X6-W2.9xW2.9 W.W.F OVER VAPOR BARRIER OVER RIGID INSULATION</t>
  </si>
  <si>
    <t>10" THK. CONCRETE SLAB R/W #4@12" O.C. EACH WAY TOP &amp; BOTTOM OVER VAPOR BARRIER OVER RIGID INSULATION</t>
  </si>
  <si>
    <t xml:space="preserve"> 6X6-W2.9xW2.9 W.W.F</t>
  </si>
  <si>
    <t>#4 BARS</t>
  </si>
  <si>
    <t>CONCRETE TOPING</t>
  </si>
  <si>
    <t>CONCRETE TOPING OVER GALVANIZED METAL DECK (TOTAL THICKNESS 4")</t>
  </si>
  <si>
    <t>CONTROL JOINTS</t>
  </si>
  <si>
    <t>CONTINOUS FOOTINGS</t>
  </si>
  <si>
    <t>2'-0"X1'-0" CONT. CONCRETE FOOTING R/W 3-#5 BARS</t>
  </si>
  <si>
    <t>2'-0"X1'-0" CONT. HAUNCHED CONCRETE FOOTING R/W 3-#5 BARS</t>
  </si>
  <si>
    <t>2'-4"X1'-0" CONT. CONCRETE FOOTING R/W 3-#5 BARS</t>
  </si>
  <si>
    <t>2'-8"X1'-0" CONT. CONCRETE FOOTING R/W 3-#5 BARS</t>
  </si>
  <si>
    <t>#5 BARS</t>
  </si>
  <si>
    <t>ISOLATED FOOTING</t>
  </si>
  <si>
    <t>F3.5A: 3'-6"x3'-6"x1'-0" CONCRETE FOOTING R/W 6-#5 EACH WAY TOP AND BOTTOM
NO. 10</t>
  </si>
  <si>
    <t>F4.5A: 4'-6"x4'-6"x1'-0" CONCRETE FOOTING R/W 7-#5 EACH WAY TOP AND BOTTOM
NO. 14</t>
  </si>
  <si>
    <t>F6.0A: 6'-0"x6'-0"x1'-6" CONCRETE FOOTING R/W 8-#5 EACH WAY TOP AND BOTTOM
NO. 1</t>
  </si>
  <si>
    <t>F5.0A: 5'-0"x5'-0"x1'-0" CONCRETE FOOTING R/W 8-#5 EACH WAY TOP AND BOTTOM
NO. 2</t>
  </si>
  <si>
    <t>F6.5A: 6'-6"x3'6"x1'-0" CONCRETE FOOTING R/W 10-#5 SHORT TOP &amp; BOTTOM AND 6-#5 LONG TOP &amp; BOTTOM
NO. 3</t>
  </si>
  <si>
    <t>F8.0A: 8'-0"x5'-0"x2'-0" CONCRETE FOOTING R/W 12-#5 SHORT TOP &amp; BOTTOM AND 8-#5 LONG TOP &amp; BOTTOM
NO. 1</t>
  </si>
  <si>
    <t>8" THK. CONCRETE STEM WALL</t>
  </si>
  <si>
    <t>12" THK. CONCRETE STEM WALL</t>
  </si>
  <si>
    <t>16" THK. CONCRETE STEM WALL</t>
  </si>
  <si>
    <t>CONCRETE APRON</t>
  </si>
  <si>
    <t>6" THK. CONCRETE APRON R/W 6x6-W2.9XW2.9 WWF</t>
  </si>
  <si>
    <t>16"x16" CONCRETE PIER R/W 4-#8 BARS AND #4 TIES @12" O.C.
NO. OF PIERS @2'-6" HT: 4  EA
NO. OF PIERS @3'-6" HT: 31 EA</t>
  </si>
  <si>
    <t>#8 BARS</t>
  </si>
  <si>
    <t>OPERATION BUILDING</t>
  </si>
  <si>
    <t>BASES</t>
  </si>
  <si>
    <t>12" THK. COMPACTED SAND AND GRAVEL BASE AT SLAB ON GRADE</t>
  </si>
  <si>
    <t>6" COMPACTED BASE AT FOOTINGS</t>
  </si>
  <si>
    <t>COMPACTED GRAVEL BACKFILL AT APRON</t>
  </si>
  <si>
    <t>COMPACTED SAND AND GRAVEL BACKFILL</t>
  </si>
  <si>
    <t>1'-7" x  1'-3" x 5"H CONCRETE PIERS W/ (4)8# VERT. TIES &amp; (1) #4 @ 12" O.C. (2AD'L TIES @ 2" O.C. TOP)</t>
  </si>
  <si>
    <t>1'-7" x  1'-3" x 8"H CONCRETE PIERS W/ (4)8# VERT. TIES &amp; (1) #4 @ 12" O.C. (2AD'L TIES @ 2" O.C. TOP)</t>
  </si>
  <si>
    <t>1'-7" x  1'-3" x 2'-4"H CONCRETE PIERS W/ (4)8# VERT. TIES &amp; (1) #4 @ 12" O.C. (2AD'L TIES @ 2" O.C. TOP)</t>
  </si>
  <si>
    <t>1'-7" x  1'-3" x 2'-10"H CONCRETE PIERS W/ (4)8# VERT. TIES &amp; (1) #4 @ 12" O.C. (2AD'L TIES @ 2" O.C. TOP)</t>
  </si>
  <si>
    <t>1'-7" x  1'-3" x 3'-0"H CONCRETE PIERS W/ (4)8# VERT. TIES &amp; (1) #4 @ 12" O.C. (2AD'L TIES @ 2" O.C. TOP)</t>
  </si>
  <si>
    <t>1'-7" x  1'-3" x 3'-4"H CONCRETE PIERS W/ (4)8# VERT. TIES &amp; (1) #4 @ 12" O.C. (2AD'L TIES @ 2" O.C. TOP)</t>
  </si>
  <si>
    <t>1'-7" x  1'-3" x 3'-5"H CONCRETE PIERS W/ (4)8# VERT. TIES &amp; (1) #4 @ 12" O.C. (2AD'L TIES @ 2" O.C. TOP)</t>
  </si>
  <si>
    <t>1'-7" x  1'-3" x 3'-8"H CONCRETE PIERS W/ (4)8# VERT. TIES &amp; (1) #4 @ 12" O.C. (2AD'L TIES @ 2" O.C. TOP)</t>
  </si>
  <si>
    <t>1'-7" x  1'-3" x 3'-10"H CONCRETE PIERS W/ (4)8# VERT. TIES &amp; (1) #4 @ 12" O.C. (2AD'L TIES @ 2" O.C. TOP)</t>
  </si>
  <si>
    <t>1'-7" x  1'-3" x 4'-3"H CONCRETE PIERS W/ (4)8# VERT. TIES &amp; (1) #4 @ 12" O.C. (2AD'L TIES @ 2" O.C. TOP)</t>
  </si>
  <si>
    <t>1'-7" x  1'-3" x 4'-7"H CONCRETE PIERS W/ (4)8# VERT. TIES &amp; (1) #4 @ 12" O.C. (2AD'L TIES @ 2" O.C. TOP)</t>
  </si>
  <si>
    <t>1'-7" x  1'-3" x 4-8"H CONCRETE PIERS W/ (4)8# VERT. TIES &amp; (1) #4 @ 12" O.C. (2AD'L TIES @ 2" O.C. TOP)</t>
  </si>
  <si>
    <t>1'-8" x  1'-4" x 2'-7"H CONCRETE PIERS W/ (8)8# VERT. TIES &amp; (2)#4 @ 12" O.C. (4AD'L TIES @ 2" O.C. TOP)</t>
  </si>
  <si>
    <t>1'-8" x  1'-4" x 2'-10"H CONCRETE PIERS W/ (8)8# VERT. TIES &amp; (2)#4 @ 12" O.C. (4AD'L TIES @ 2" O.C. TOP)</t>
  </si>
  <si>
    <t>1'-8" x  1'-4" x 3'-4"H CONCRETE PIERS W/ (8)8# VERT. TIES &amp; (2)#4 @ 12" O.C. (4AD'L TIES @ 2" O.C. TOP)</t>
  </si>
  <si>
    <t>1'-8" x  1'-4" x 3'-10"H CONCRETE PIERS W/ (8)8# VERT. TIES &amp; (2)#4 @ 12" O.C. (4AD'L TIES @ 2" O.C. TOP)</t>
  </si>
  <si>
    <t>1'-8" x  1'-4" x 4'-6"H CONCRETE PIERS W/ (8)8# VERT. TIES &amp; (2)#4 @ 12" O.C. (4AD'L TIES @ 2" O.C. TOP)</t>
  </si>
  <si>
    <t>1'-8" x  1'-4" x 5'-7"H CONCRETE PIERS W/ (8)8# VERT. TIES &amp; (2)#4 @ 12" O.C. (4AD'L TIES @ 2" O.C. TOP)</t>
  </si>
  <si>
    <t>1'-7" x  1'-7" x 5"H CONCRETE PIERS W/ (4)8# VERT. TIES &amp; (1) #4 @ 12" O.C. (2AD'L TIES @ 2" O.C. TOP)</t>
  </si>
  <si>
    <t>1'-7" x  1'-7" x 8"H CONCRETE PIERS W/ (4)8# VERT. TIES &amp; (1) #4 @ 12" O.C. (2AD'L TIES @ 2" O.C. TOP)</t>
  </si>
  <si>
    <t>1'-7" x  1'-7" x 1'-8"H CONCRETE PIERS W/ (4)8# VERT. TIES &amp; (1) #4 @ 12" O.C. (2AD'L TIES @ 2" O.C. TOP)</t>
  </si>
  <si>
    <t>1'-7" x  1'-7" x 2'-4"H CONCRETE PIERS W/ (4)8# VERT. TIES &amp; (1) #4 @ 12" O.C. (2AD'L TIES @ 2" O.C. TOP)</t>
  </si>
  <si>
    <t>1'-7" x  1'-7" x 2'-6"H CONCRETE PIERS W/ (4)8# VERT. TIES &amp; (1) #4 @ 12" O.C. (2AD'L TIES @ 2" O.C. TOP)</t>
  </si>
  <si>
    <t>1'-7" x  1'-7" x 2'-10"H CONCRETE PIERS W/ (4)8# VERT. TIES &amp; (1) #4 @ 12" O.C. (2AD'L TIES @ 2" O.C. TOP)</t>
  </si>
  <si>
    <t>1'-7" x  1'-7" x 3'-4"H CONCRETE PIERS W/ (4)8# VERT. TIES &amp; (1) #4 @ 12" O.C. (2AD'L TIES @ 2" O.C. TOP)</t>
  </si>
  <si>
    <t>1'-7" x  1'-7" x 4'-4"H CONCRETE PIERS W/ (4)8# VERT. TIES &amp; (1) #4 @ 12" O.C. (2AD'L TIES @ 2" O.C. TOP)</t>
  </si>
  <si>
    <t>(2) 3'-2" x  1'-4" x 2'-6"H CONCRETE PIERS W/ (8)8# VERT. TIES &amp; (2)#4 @ 12" O.C. (4AD'L TIES @ 2" O.C. TOP)</t>
  </si>
  <si>
    <t>1'-4" x  1'-4" x 3'-8"H CONCRETE PIERS W/ (8)8# VERT. TIES &amp; (2)#4 @ 12" O.C. (4AD'L TIES @ 2" O.C. TOP)</t>
  </si>
  <si>
    <t>ALT-5</t>
  </si>
  <si>
    <t>LANDSCAPE</t>
  </si>
  <si>
    <t>L-1</t>
  </si>
  <si>
    <t>PLANTING SOIL</t>
  </si>
  <si>
    <t>SUPPLY, SCREENING AND SPREADING OF 6" LOAM AT SEEDING AREA</t>
  </si>
  <si>
    <t>SUPPLY AND INSTALLATION OF PLANTING SOIL;
-50% LOAM
-25% SAND
-25% PEAT MOSS</t>
  </si>
  <si>
    <t>NOTE: 6'-0"DIA. X 2'-6" HIGH PLANTING SOIL IS ASSUMED FOR ALL PLANTS</t>
  </si>
  <si>
    <t>TRENCHING FOR SITE ELECTRICAL CONDUITS</t>
  </si>
  <si>
    <t>TRENCHING FOR PUBLIC SAFETY BUILDING ELECTRICAL CONDUITS</t>
  </si>
  <si>
    <t>TRENCHING FOR OPERATIONAL BUILDING ELECTRICAL CONDUITS</t>
  </si>
  <si>
    <t>LOAM</t>
  </si>
  <si>
    <t>Example Estimate |</t>
  </si>
  <si>
    <t>Project Title:</t>
  </si>
  <si>
    <t>21 Fairfield Ave | Res-GC | NJ</t>
  </si>
  <si>
    <t>Client:
Due Date:</t>
  </si>
  <si>
    <t>AAA Construction LLC
3/12/24</t>
  </si>
  <si>
    <r>
      <rPr>
        <b/>
        <sz val="16"/>
        <rFont val="Calibri"/>
        <family val="2"/>
        <scheme val="minor"/>
      </rPr>
      <t>PERFECT ESTIMATOR LLC</t>
    </r>
    <r>
      <rPr>
        <b/>
        <sz val="16"/>
        <color rgb="FF0070C0"/>
        <rFont val="Calibri"/>
        <family val="2"/>
        <scheme val="minor"/>
      </rPr>
      <t xml:space="preserve">
Achieve Your</t>
    </r>
    <r>
      <rPr>
        <b/>
        <i/>
        <sz val="16"/>
        <color rgb="FF0070C0"/>
        <rFont val="Calibri"/>
        <family val="2"/>
        <scheme val="minor"/>
      </rPr>
      <t xml:space="preserve"> </t>
    </r>
    <r>
      <rPr>
        <b/>
        <i/>
        <sz val="16"/>
        <color rgb="FF00B050"/>
        <rFont val="Calibri"/>
        <family val="2"/>
        <scheme val="minor"/>
      </rPr>
      <t>Bidding Success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</si>
</sst>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&quot;$&quot;#,##0_);[Red]\(&quot;$&quot;#,##0\)"/>
    <numFmt numFmtId="165" formatCode="&quot;$&quot;#,##0.00_);\(&quot;$&quot;#,##0.00\)"/>
    <numFmt numFmtId="166" formatCode="&quot;$&quot;#,##0.00_);[Red]\(&quot;$&quot;#,##0.00\)"/>
    <numFmt numFmtId="167" formatCode="_(&quot;$&quot;* #,##0.00_);_(&quot;$&quot;* \(#,##0.00\);_(&quot;$&quot;* &quot;-&quot;??_);_(@_)"/>
    <numFmt numFmtId="168" formatCode="_(&quot;$&quot;* #,##0_);_(&quot;$&quot;* \(#,##0\);_(&quot;$&quot;* &quot;-&quot;??_);_(@_)"/>
    <numFmt numFmtId="169" formatCode="0.000%"/>
    <numFmt numFmtId="170" formatCode="0.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color rgb="FF0070C0"/>
      <name val="Calibri"/>
      <family val="2"/>
      <scheme val="minor"/>
    </font>
    <font>
      <b/>
      <i/>
      <sz val="16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7" fontId="5" fillId="0" borderId="0" applyFont="0" applyFill="0" applyBorder="0" applyAlignment="0" applyProtection="0"/>
    <xf numFmtId="0" fontId="5" fillId="0" borderId="0"/>
    <xf numFmtId="0" fontId="1" fillId="0" borderId="0"/>
  </cellStyleXfs>
  <cellXfs count="127">
    <xf numFmtId="0" fontId="0" fillId="0" borderId="0" xfId="0"/>
    <xf numFmtId="0" fontId="3" fillId="0" borderId="0" xfId="3" applyFont="1" applyAlignment="1">
      <alignment horizontal="left" vertical="center"/>
    </xf>
    <xf numFmtId="166" fontId="3" fillId="0" borderId="0" xfId="3" applyNumberFormat="1" applyFont="1" applyAlignment="1">
      <alignment horizontal="center" vertical="center"/>
    </xf>
    <xf numFmtId="10" fontId="3" fillId="0" borderId="3" xfId="3" applyNumberFormat="1" applyFont="1" applyBorder="1" applyAlignment="1">
      <alignment vertical="center"/>
    </xf>
    <xf numFmtId="10" fontId="3" fillId="0" borderId="0" xfId="3" applyNumberFormat="1" applyFont="1" applyAlignment="1">
      <alignment horizontal="center" vertical="center"/>
    </xf>
    <xf numFmtId="169" fontId="3" fillId="0" borderId="3" xfId="3" applyNumberFormat="1" applyFont="1" applyBorder="1" applyAlignment="1">
      <alignment vertical="center"/>
    </xf>
    <xf numFmtId="0" fontId="4" fillId="2" borderId="3" xfId="3" applyFont="1" applyFill="1" applyBorder="1" applyAlignment="1">
      <alignment horizontal="left" vertical="center" wrapText="1"/>
    </xf>
    <xf numFmtId="166" fontId="4" fillId="2" borderId="3" xfId="2" applyFont="1" applyFill="1" applyBorder="1" applyAlignment="1" applyProtection="1">
      <alignment horizontal="center" vertical="center"/>
    </xf>
    <xf numFmtId="0" fontId="3" fillId="0" borderId="3" xfId="3" applyFont="1" applyBorder="1" applyAlignment="1">
      <alignment horizontal="left" vertical="center" wrapText="1"/>
    </xf>
    <xf numFmtId="0" fontId="3" fillId="0" borderId="3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38" fontId="4" fillId="2" borderId="3" xfId="3" applyNumberFormat="1" applyFont="1" applyFill="1" applyBorder="1" applyAlignment="1">
      <alignment horizontal="center" vertical="center" wrapText="1"/>
    </xf>
    <xf numFmtId="166" fontId="3" fillId="0" borderId="0" xfId="2" applyFont="1" applyAlignment="1" applyProtection="1">
      <alignment horizontal="center" vertical="center"/>
    </xf>
    <xf numFmtId="0" fontId="4" fillId="0" borderId="11" xfId="3" applyFont="1" applyBorder="1" applyAlignment="1">
      <alignment vertical="center"/>
    </xf>
    <xf numFmtId="166" fontId="3" fillId="0" borderId="3" xfId="3" applyNumberFormat="1" applyFont="1" applyBorder="1" applyAlignment="1">
      <alignment horizontal="center" vertical="center"/>
    </xf>
    <xf numFmtId="0" fontId="3" fillId="0" borderId="12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4" fillId="0" borderId="0" xfId="3" applyFont="1" applyAlignment="1">
      <alignment vertical="center"/>
    </xf>
    <xf numFmtId="0" fontId="4" fillId="0" borderId="1" xfId="3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38" fontId="4" fillId="0" borderId="4" xfId="3" applyNumberFormat="1" applyFont="1" applyBorder="1" applyAlignment="1">
      <alignment horizontal="center" vertical="center" wrapText="1"/>
    </xf>
    <xf numFmtId="0" fontId="4" fillId="0" borderId="4" xfId="3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166" fontId="4" fillId="0" borderId="4" xfId="3" applyNumberFormat="1" applyFont="1" applyBorder="1" applyAlignment="1">
      <alignment horizontal="center" vertical="center"/>
    </xf>
    <xf numFmtId="166" fontId="4" fillId="0" borderId="4" xfId="2" applyFont="1" applyBorder="1" applyAlignment="1" applyProtection="1">
      <alignment horizontal="center" vertical="center"/>
    </xf>
    <xf numFmtId="165" fontId="4" fillId="0" borderId="4" xfId="1" applyNumberFormat="1" applyFont="1" applyBorder="1" applyAlignment="1" applyProtection="1">
      <alignment horizontal="center" vertical="center"/>
    </xf>
    <xf numFmtId="0" fontId="6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3" fillId="0" borderId="1" xfId="3" applyFont="1" applyBorder="1" applyAlignment="1">
      <alignment vertical="center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4" fillId="0" borderId="9" xfId="3" applyFont="1" applyBorder="1" applyAlignment="1">
      <alignment vertical="center"/>
    </xf>
    <xf numFmtId="168" fontId="4" fillId="0" borderId="3" xfId="3" applyNumberFormat="1" applyFont="1" applyBorder="1" applyAlignment="1">
      <alignment horizontal="center" vertical="center"/>
    </xf>
    <xf numFmtId="0" fontId="3" fillId="0" borderId="9" xfId="3" applyFont="1" applyBorder="1" applyAlignment="1">
      <alignment vertical="center"/>
    </xf>
    <xf numFmtId="167" fontId="4" fillId="0" borderId="10" xfId="4" applyFont="1" applyBorder="1" applyAlignment="1" applyProtection="1">
      <alignment horizontal="center" vertical="center"/>
    </xf>
    <xf numFmtId="168" fontId="4" fillId="2" borderId="3" xfId="3" applyNumberFormat="1" applyFont="1" applyFill="1" applyBorder="1" applyAlignment="1">
      <alignment horizontal="center" vertical="center"/>
    </xf>
    <xf numFmtId="38" fontId="3" fillId="0" borderId="3" xfId="3" applyNumberFormat="1" applyFont="1" applyBorder="1" applyAlignment="1">
      <alignment horizontal="center" vertical="center"/>
    </xf>
    <xf numFmtId="167" fontId="3" fillId="0" borderId="3" xfId="4" applyFont="1" applyFill="1" applyBorder="1" applyAlignment="1" applyProtection="1">
      <alignment horizontal="center" vertical="center"/>
    </xf>
    <xf numFmtId="0" fontId="4" fillId="0" borderId="3" xfId="3" applyFont="1" applyBorder="1" applyAlignment="1">
      <alignment horizontal="left" vertical="center" wrapText="1"/>
    </xf>
    <xf numFmtId="168" fontId="4" fillId="2" borderId="3" xfId="4" applyNumberFormat="1" applyFont="1" applyFill="1" applyBorder="1" applyAlignment="1" applyProtection="1">
      <alignment horizontal="center" vertical="center"/>
    </xf>
    <xf numFmtId="38" fontId="3" fillId="0" borderId="3" xfId="3" applyNumberFormat="1" applyFont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168" fontId="3" fillId="0" borderId="3" xfId="4" applyNumberFormat="1" applyFont="1" applyBorder="1" applyAlignment="1" applyProtection="1">
      <alignment horizontal="center" vertical="center" wrapText="1"/>
    </xf>
    <xf numFmtId="167" fontId="3" fillId="0" borderId="3" xfId="4" applyFont="1" applyBorder="1" applyAlignment="1" applyProtection="1">
      <alignment horizontal="center" vertical="center" wrapText="1"/>
    </xf>
    <xf numFmtId="168" fontId="4" fillId="0" borderId="3" xfId="4" applyNumberFormat="1" applyFont="1" applyBorder="1" applyAlignment="1" applyProtection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43" fontId="3" fillId="0" borderId="0" xfId="3" applyNumberFormat="1" applyFont="1" applyAlignment="1">
      <alignment horizontal="center" vertical="center"/>
    </xf>
    <xf numFmtId="38" fontId="3" fillId="0" borderId="5" xfId="3" applyNumberFormat="1" applyFont="1" applyBorder="1" applyAlignment="1">
      <alignment horizontal="center" vertical="center"/>
    </xf>
    <xf numFmtId="166" fontId="4" fillId="0" borderId="3" xfId="2" applyFont="1" applyFill="1" applyBorder="1" applyAlignment="1" applyProtection="1">
      <alignment horizontal="center" vertical="center" wrapText="1"/>
    </xf>
    <xf numFmtId="166" fontId="4" fillId="0" borderId="3" xfId="2" applyFont="1" applyFill="1" applyBorder="1" applyAlignment="1" applyProtection="1">
      <alignment horizontal="center" vertical="center"/>
    </xf>
    <xf numFmtId="38" fontId="3" fillId="3" borderId="3" xfId="3" applyNumberFormat="1" applyFont="1" applyFill="1" applyBorder="1" applyAlignment="1">
      <alignment horizontal="center" vertical="center"/>
    </xf>
    <xf numFmtId="38" fontId="3" fillId="3" borderId="3" xfId="3" applyNumberFormat="1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left" vertical="center" wrapText="1"/>
    </xf>
    <xf numFmtId="1" fontId="3" fillId="0" borderId="3" xfId="5" applyNumberFormat="1" applyFont="1" applyBorder="1" applyAlignment="1">
      <alignment horizontal="center" vertical="center" wrapText="1"/>
    </xf>
    <xf numFmtId="170" fontId="3" fillId="0" borderId="3" xfId="0" applyNumberFormat="1" applyFont="1" applyBorder="1" applyAlignment="1">
      <alignment horizontal="center" vertical="center" wrapText="1"/>
    </xf>
    <xf numFmtId="170" fontId="3" fillId="0" borderId="3" xfId="5" applyNumberFormat="1" applyFont="1" applyBorder="1" applyAlignment="1">
      <alignment horizontal="center" vertical="center" wrapText="1"/>
    </xf>
    <xf numFmtId="0" fontId="3" fillId="0" borderId="3" xfId="3" applyFont="1" applyBorder="1" applyAlignment="1">
      <alignment horizontal="right" vertical="center" wrapText="1"/>
    </xf>
    <xf numFmtId="38" fontId="3" fillId="0" borderId="3" xfId="3" applyNumberFormat="1" applyFont="1" applyBorder="1" applyAlignment="1">
      <alignment vertical="center" wrapText="1"/>
    </xf>
    <xf numFmtId="0" fontId="4" fillId="0" borderId="3" xfId="3" applyFont="1" applyBorder="1" applyAlignment="1">
      <alignment horizontal="center" vertical="center"/>
    </xf>
    <xf numFmtId="168" fontId="3" fillId="0" borderId="3" xfId="3" applyNumberFormat="1" applyFont="1" applyBorder="1" applyAlignment="1">
      <alignment horizontal="center" vertical="center"/>
    </xf>
    <xf numFmtId="166" fontId="3" fillId="3" borderId="3" xfId="3" applyNumberFormat="1" applyFont="1" applyFill="1" applyBorder="1" applyAlignment="1">
      <alignment horizontal="center" vertical="center"/>
    </xf>
    <xf numFmtId="167" fontId="3" fillId="0" borderId="0" xfId="3" applyNumberFormat="1" applyFont="1" applyAlignment="1">
      <alignment horizontal="center" vertical="center"/>
    </xf>
    <xf numFmtId="0" fontId="4" fillId="0" borderId="12" xfId="3" applyFont="1" applyBorder="1" applyAlignment="1">
      <alignment vertical="center"/>
    </xf>
    <xf numFmtId="0" fontId="4" fillId="0" borderId="2" xfId="3" applyFont="1" applyBorder="1" applyAlignment="1">
      <alignment vertical="center"/>
    </xf>
    <xf numFmtId="38" fontId="3" fillId="4" borderId="3" xfId="3" applyNumberFormat="1" applyFont="1" applyFill="1" applyBorder="1" applyAlignment="1">
      <alignment horizontal="center" vertical="center"/>
    </xf>
    <xf numFmtId="2" fontId="4" fillId="0" borderId="3" xfId="3" applyNumberFormat="1" applyFont="1" applyBorder="1" applyAlignment="1">
      <alignment horizontal="center" vertical="center"/>
    </xf>
    <xf numFmtId="166" fontId="4" fillId="0" borderId="0" xfId="3" applyNumberFormat="1" applyFont="1" applyAlignment="1">
      <alignment horizontal="center" vertical="center"/>
    </xf>
    <xf numFmtId="38" fontId="3" fillId="0" borderId="14" xfId="3" applyNumberFormat="1" applyFont="1" applyBorder="1" applyAlignment="1">
      <alignment horizontal="center" vertical="center" wrapText="1"/>
    </xf>
    <xf numFmtId="38" fontId="3" fillId="5" borderId="3" xfId="3" applyNumberFormat="1" applyFont="1" applyFill="1" applyBorder="1" applyAlignment="1">
      <alignment horizontal="center" vertical="center"/>
    </xf>
    <xf numFmtId="38" fontId="3" fillId="0" borderId="5" xfId="3" applyNumberFormat="1" applyFont="1" applyBorder="1" applyAlignment="1">
      <alignment horizontal="center" vertical="center"/>
    </xf>
    <xf numFmtId="38" fontId="3" fillId="0" borderId="4" xfId="3" applyNumberFormat="1" applyFont="1" applyBorder="1" applyAlignment="1">
      <alignment horizontal="center" vertical="center"/>
    </xf>
    <xf numFmtId="38" fontId="3" fillId="0" borderId="10" xfId="3" applyNumberFormat="1" applyFont="1" applyBorder="1" applyAlignment="1">
      <alignment horizontal="center" vertical="center"/>
    </xf>
    <xf numFmtId="14" fontId="3" fillId="0" borderId="9" xfId="3" applyNumberFormat="1" applyFont="1" applyBorder="1" applyAlignment="1">
      <alignment horizontal="left" vertical="center" wrapText="1"/>
    </xf>
    <xf numFmtId="0" fontId="3" fillId="0" borderId="0" xfId="3" applyFont="1" applyAlignment="1">
      <alignment horizontal="left" vertical="center" wrapText="1"/>
    </xf>
    <xf numFmtId="0" fontId="3" fillId="0" borderId="7" xfId="3" applyFont="1" applyBorder="1" applyAlignment="1">
      <alignment horizontal="left" vertical="center" wrapText="1"/>
    </xf>
    <xf numFmtId="0" fontId="3" fillId="0" borderId="6" xfId="3" applyFont="1" applyBorder="1" applyAlignment="1">
      <alignment horizontal="left" vertical="center" wrapText="1"/>
    </xf>
    <xf numFmtId="0" fontId="7" fillId="0" borderId="11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7" xfId="3" applyFont="1" applyBorder="1" applyAlignment="1">
      <alignment horizontal="left" vertical="center"/>
    </xf>
    <xf numFmtId="0" fontId="3" fillId="0" borderId="6" xfId="3" applyFont="1" applyBorder="1" applyAlignment="1">
      <alignment horizontal="left" vertical="center"/>
    </xf>
    <xf numFmtId="0" fontId="3" fillId="0" borderId="8" xfId="3" applyFont="1" applyBorder="1" applyAlignment="1">
      <alignment horizontal="left" vertical="center"/>
    </xf>
    <xf numFmtId="0" fontId="6" fillId="0" borderId="9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4" fillId="0" borderId="11" xfId="3" applyFont="1" applyBorder="1" applyAlignment="1">
      <alignment horizontal="left" vertical="center"/>
    </xf>
    <xf numFmtId="0" fontId="4" fillId="0" borderId="12" xfId="3" applyFont="1" applyBorder="1" applyAlignment="1">
      <alignment horizontal="left" vertical="center"/>
    </xf>
    <xf numFmtId="0" fontId="4" fillId="0" borderId="11" xfId="3" applyFont="1" applyBorder="1" applyAlignment="1">
      <alignment horizontal="left" vertical="center" wrapText="1"/>
    </xf>
    <xf numFmtId="0" fontId="4" fillId="0" borderId="12" xfId="3" applyFont="1" applyBorder="1" applyAlignment="1">
      <alignment horizontal="left" vertical="center" wrapText="1"/>
    </xf>
    <xf numFmtId="0" fontId="4" fillId="0" borderId="2" xfId="3" applyFont="1" applyBorder="1" applyAlignment="1">
      <alignment horizontal="left" vertical="center" wrapText="1"/>
    </xf>
    <xf numFmtId="0" fontId="3" fillId="0" borderId="9" xfId="3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8" xfId="3" applyFont="1" applyBorder="1" applyAlignment="1">
      <alignment horizontal="left" vertical="center" wrapText="1"/>
    </xf>
    <xf numFmtId="0" fontId="3" fillId="0" borderId="15" xfId="3" applyFont="1" applyBorder="1" applyAlignment="1">
      <alignment horizontal="left" vertical="center" wrapText="1"/>
    </xf>
    <xf numFmtId="0" fontId="3" fillId="0" borderId="13" xfId="3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3" fillId="0" borderId="9" xfId="3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top" wrapText="1" indent="2"/>
    </xf>
    <xf numFmtId="0" fontId="8" fillId="0" borderId="16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vertical="top" wrapText="1" indent="2"/>
    </xf>
    <xf numFmtId="0" fontId="9" fillId="0" borderId="0" xfId="0" applyFont="1" applyAlignment="1">
      <alignment horizontal="left" vertical="top" wrapText="1" indent="2"/>
    </xf>
    <xf numFmtId="0" fontId="8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38" fontId="3" fillId="0" borderId="3" xfId="3" applyNumberFormat="1" applyFont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14" xfId="3" applyFont="1" applyBorder="1" applyAlignment="1">
      <alignment horizontal="left" vertical="center"/>
    </xf>
    <xf numFmtId="166" fontId="4" fillId="0" borderId="3" xfId="2" applyFont="1" applyFill="1" applyBorder="1" applyAlignment="1" applyProtection="1">
      <alignment horizontal="center" vertical="center" wrapText="1"/>
    </xf>
    <xf numFmtId="166" fontId="4" fillId="0" borderId="3" xfId="2" applyFont="1" applyFill="1" applyBorder="1" applyAlignment="1" applyProtection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3" applyFont="1" applyBorder="1" applyAlignment="1">
      <alignment horizontal="right" vertical="center"/>
    </xf>
    <xf numFmtId="0" fontId="3" fillId="0" borderId="13" xfId="3" applyFont="1" applyBorder="1" applyAlignment="1">
      <alignment horizontal="left" vertical="center"/>
    </xf>
    <xf numFmtId="0" fontId="4" fillId="0" borderId="2" xfId="3" applyFont="1" applyBorder="1" applyAlignment="1">
      <alignment horizontal="left" vertical="center"/>
    </xf>
    <xf numFmtId="0" fontId="4" fillId="0" borderId="3" xfId="3" applyFont="1" applyBorder="1" applyAlignment="1">
      <alignment horizontal="right" vertical="center"/>
    </xf>
    <xf numFmtId="38" fontId="7" fillId="0" borderId="3" xfId="3" applyNumberFormat="1" applyFont="1" applyBorder="1" applyAlignment="1">
      <alignment horizontal="center" vertical="center"/>
    </xf>
  </cellXfs>
  <cellStyles count="7">
    <cellStyle name="Currency" xfId="4" builtinId="4"/>
    <cellStyle name="Currency [0]_Addendum #8" xfId="1" xr:uid="{00000000-0005-0000-0000-000001000000}"/>
    <cellStyle name="Currency_Addendum #8" xfId="2" xr:uid="{00000000-0005-0000-0000-000002000000}"/>
    <cellStyle name="Normal" xfId="0" builtinId="0"/>
    <cellStyle name="Normal 2" xfId="5" xr:uid="{00000000-0005-0000-0000-000004000000}"/>
    <cellStyle name="Normal 2 2" xfId="6" xr:uid="{00000000-0005-0000-0000-000005000000}"/>
    <cellStyle name="Normal_Addendum #8" xfId="3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3</xdr:row>
      <xdr:rowOff>123825</xdr:rowOff>
    </xdr:from>
    <xdr:to>
      <xdr:col>2</xdr:col>
      <xdr:colOff>649476</xdr:colOff>
      <xdr:row>7</xdr:row>
      <xdr:rowOff>130549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06A463-CF03-490C-A7DB-CBC90C43B7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1" t="7840" r="74460" b="69197"/>
        <a:stretch/>
      </xdr:blipFill>
      <xdr:spPr>
        <a:xfrm>
          <a:off x="142875" y="666750"/>
          <a:ext cx="1049526" cy="616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B1:M37"/>
  <sheetViews>
    <sheetView showGridLines="0" showZeros="0" view="pageBreakPreview" zoomScaleNormal="100" zoomScaleSheetLayoutView="100" workbookViewId="0">
      <selection activeCell="I18" sqref="I18"/>
    </sheetView>
  </sheetViews>
  <sheetFormatPr defaultColWidth="9.140625" defaultRowHeight="12.75" x14ac:dyDescent="0.2"/>
  <cols>
    <col min="1" max="1" width="1.5703125" style="10" customWidth="1"/>
    <col min="2" max="2" width="6.5703125" style="10" customWidth="1"/>
    <col min="3" max="3" width="12.5703125" style="10" customWidth="1"/>
    <col min="4" max="4" width="60.5703125" style="1" customWidth="1"/>
    <col min="5" max="6" width="12.5703125" style="1" customWidth="1"/>
    <col min="7" max="7" width="12.5703125" style="10" customWidth="1"/>
    <col min="8" max="8" width="13.42578125" style="10" customWidth="1"/>
    <col min="9" max="16384" width="9.140625" style="10"/>
  </cols>
  <sheetData>
    <row r="1" spans="2:13" ht="9" customHeight="1" x14ac:dyDescent="0.2">
      <c r="H1" s="23"/>
    </row>
    <row r="2" spans="2:13" ht="21.95" customHeight="1" x14ac:dyDescent="0.2">
      <c r="B2" s="83" t="s">
        <v>35</v>
      </c>
      <c r="C2" s="84"/>
      <c r="D2" s="84"/>
      <c r="E2" s="84"/>
      <c r="F2" s="84"/>
      <c r="G2" s="85"/>
      <c r="H2" s="86"/>
      <c r="I2" s="86"/>
      <c r="J2" s="86"/>
    </row>
    <row r="3" spans="2:13" ht="12.6" customHeight="1" x14ac:dyDescent="0.2">
      <c r="B3" s="87"/>
      <c r="C3" s="88"/>
      <c r="D3" s="88"/>
      <c r="E3" s="88"/>
      <c r="F3" s="88"/>
      <c r="G3" s="89"/>
    </row>
    <row r="4" spans="2:13" ht="12.6" customHeight="1" x14ac:dyDescent="0.2">
      <c r="B4" s="35"/>
      <c r="C4" s="16"/>
      <c r="D4" s="103" t="s">
        <v>461</v>
      </c>
      <c r="E4" s="103"/>
      <c r="F4" s="103"/>
      <c r="G4" s="103"/>
    </row>
    <row r="5" spans="2:13" ht="12.6" customHeight="1" x14ac:dyDescent="0.2">
      <c r="B5" s="36"/>
      <c r="D5" s="104"/>
      <c r="E5" s="104"/>
      <c r="F5" s="104"/>
      <c r="G5" s="104"/>
    </row>
    <row r="6" spans="2:13" ht="12.6" customHeight="1" x14ac:dyDescent="0.2">
      <c r="B6" s="36"/>
      <c r="D6" s="104"/>
      <c r="E6" s="104"/>
      <c r="F6" s="104"/>
      <c r="G6" s="104"/>
      <c r="H6" s="86"/>
      <c r="I6" s="86"/>
      <c r="J6" s="86"/>
      <c r="K6" s="86"/>
      <c r="M6" s="2"/>
    </row>
    <row r="7" spans="2:13" ht="12.6" customHeight="1" x14ac:dyDescent="0.2">
      <c r="B7" s="36"/>
      <c r="D7" s="104"/>
      <c r="E7" s="104"/>
      <c r="F7" s="104"/>
      <c r="G7" s="104"/>
      <c r="M7" s="2"/>
    </row>
    <row r="8" spans="2:13" ht="12.6" customHeight="1" x14ac:dyDescent="0.2">
      <c r="B8" s="36"/>
      <c r="D8" s="104"/>
      <c r="E8" s="104"/>
      <c r="F8" s="104"/>
      <c r="G8" s="104"/>
      <c r="H8" s="86"/>
      <c r="I8" s="86"/>
      <c r="J8" s="86"/>
      <c r="K8" s="86"/>
      <c r="L8" s="4"/>
      <c r="M8" s="2"/>
    </row>
    <row r="9" spans="2:13" ht="12.6" customHeight="1" x14ac:dyDescent="0.2">
      <c r="B9" s="36"/>
      <c r="D9" s="104"/>
      <c r="E9" s="104"/>
      <c r="F9" s="104"/>
      <c r="G9" s="104"/>
      <c r="H9" s="86"/>
      <c r="I9" s="86"/>
      <c r="J9" s="86"/>
      <c r="K9" s="86"/>
      <c r="L9" s="4"/>
      <c r="M9" s="2"/>
    </row>
    <row r="10" spans="2:13" ht="12.6" customHeight="1" x14ac:dyDescent="0.2">
      <c r="B10" s="90"/>
      <c r="C10" s="91"/>
      <c r="D10" s="91"/>
      <c r="E10" s="91"/>
      <c r="F10" s="91"/>
      <c r="G10" s="92"/>
      <c r="H10" s="86"/>
      <c r="I10" s="86"/>
      <c r="J10" s="86"/>
      <c r="K10" s="86"/>
      <c r="L10" s="4"/>
      <c r="M10" s="2"/>
    </row>
    <row r="11" spans="2:13" ht="12.6" customHeight="1" x14ac:dyDescent="0.2">
      <c r="B11" s="105" t="s">
        <v>456</v>
      </c>
      <c r="C11" s="86"/>
      <c r="G11" s="18"/>
      <c r="H11" s="86"/>
      <c r="I11" s="86"/>
      <c r="J11" s="86"/>
      <c r="K11" s="86"/>
      <c r="L11" s="4"/>
      <c r="M11" s="2"/>
    </row>
    <row r="12" spans="2:13" ht="15.75" x14ac:dyDescent="0.2">
      <c r="B12" s="106" t="s">
        <v>457</v>
      </c>
      <c r="C12" s="106"/>
      <c r="D12" s="106"/>
      <c r="E12" s="107" t="s">
        <v>458</v>
      </c>
      <c r="F12" s="107"/>
      <c r="G12" s="107"/>
      <c r="H12" s="86"/>
      <c r="I12" s="86"/>
      <c r="J12" s="86"/>
      <c r="K12" s="86"/>
      <c r="M12" s="2"/>
    </row>
    <row r="13" spans="2:13" ht="15.75" x14ac:dyDescent="0.2">
      <c r="B13" s="108" t="s">
        <v>459</v>
      </c>
      <c r="C13" s="109"/>
      <c r="D13" s="109"/>
      <c r="E13" s="110" t="s">
        <v>460</v>
      </c>
      <c r="F13" s="111"/>
      <c r="G13" s="111"/>
    </row>
    <row r="14" spans="2:13" ht="12.75" customHeight="1" x14ac:dyDescent="0.2">
      <c r="B14" s="93" t="s">
        <v>25</v>
      </c>
      <c r="C14" s="94"/>
      <c r="D14" s="14" t="s">
        <v>32</v>
      </c>
      <c r="E14" s="95" t="s">
        <v>15</v>
      </c>
      <c r="F14" s="96"/>
      <c r="G14" s="97"/>
    </row>
    <row r="15" spans="2:13" x14ac:dyDescent="0.2">
      <c r="B15" s="79">
        <f>Concrete!B16</f>
        <v>45378</v>
      </c>
      <c r="C15" s="80"/>
      <c r="D15" s="101" t="str">
        <f>Concrete!D16</f>
        <v>TAUNTON PUBLIC SAFETY COMPLEX</v>
      </c>
      <c r="E15" s="98" t="s">
        <v>318</v>
      </c>
      <c r="F15" s="80"/>
      <c r="G15" s="99"/>
    </row>
    <row r="16" spans="2:13" x14ac:dyDescent="0.2">
      <c r="B16" s="81"/>
      <c r="C16" s="82"/>
      <c r="D16" s="102"/>
      <c r="E16" s="81"/>
      <c r="F16" s="82"/>
      <c r="G16" s="100"/>
    </row>
    <row r="17" spans="2:10" x14ac:dyDescent="0.2">
      <c r="B17" s="76"/>
      <c r="C17" s="77"/>
      <c r="D17" s="77"/>
      <c r="E17" s="77"/>
      <c r="F17" s="77"/>
      <c r="G17" s="78"/>
    </row>
    <row r="18" spans="2:10" s="11" customFormat="1" ht="25.5" x14ac:dyDescent="0.2">
      <c r="B18" s="12" t="s">
        <v>43</v>
      </c>
      <c r="C18" s="12" t="s">
        <v>38</v>
      </c>
      <c r="D18" s="52" t="s">
        <v>39</v>
      </c>
      <c r="E18" s="52" t="s">
        <v>40</v>
      </c>
      <c r="F18" s="52" t="s">
        <v>41</v>
      </c>
      <c r="G18" s="48" t="s">
        <v>42</v>
      </c>
      <c r="H18" s="10"/>
      <c r="I18" s="10"/>
      <c r="J18" s="10"/>
    </row>
    <row r="19" spans="2:10" x14ac:dyDescent="0.2">
      <c r="B19" s="42"/>
      <c r="C19" s="46"/>
      <c r="D19" s="8"/>
      <c r="E19" s="44"/>
      <c r="F19" s="44"/>
      <c r="G19" s="51"/>
    </row>
    <row r="20" spans="2:10" x14ac:dyDescent="0.2">
      <c r="B20" s="42">
        <f>IF(G20&lt;&gt;"",1+MAX($B$18:B19),"")</f>
        <v>1</v>
      </c>
      <c r="C20" s="46"/>
      <c r="D20" s="8" t="s">
        <v>8</v>
      </c>
      <c r="E20" s="49">
        <f>Concrete!L5+(Concrete!L5*(Concrete!$K$8+Concrete!$K$10+Concrete!$K$12))+(Concrete!$K$11*(Concrete!L5+Concrete!L5*Concrete!$K$8+Concrete!L5*Concrete!$K$10))</f>
        <v>942874.85460742982</v>
      </c>
      <c r="F20" s="49">
        <f>Concrete!L6+(Concrete!L6*(Concrete!$K$9+Concrete!$K$10+Concrete!$K$12))+(Concrete!$K$11*(Concrete!L6+Concrete!L6*Concrete!$K$9+Concrete!L6*Concrete!$K$10))</f>
        <v>1709953.3156273279</v>
      </c>
      <c r="G20" s="49">
        <f>Concrete!L13</f>
        <v>2652828.1702347584</v>
      </c>
    </row>
    <row r="21" spans="2:10" x14ac:dyDescent="0.2">
      <c r="B21" s="42">
        <f>IF(G21&lt;&gt;"",1+MAX($B$18:B20),"")</f>
        <v>2</v>
      </c>
      <c r="C21" s="46"/>
      <c r="D21" s="8" t="s">
        <v>49</v>
      </c>
      <c r="E21" s="49">
        <f>'Site work'!L5+('Site work'!L5*('Site work'!$K$8+'Site work'!$K$10+'Site work'!$K$12))+('Site work'!$K$11*('Site work'!L5+'Site work'!L5*'Site work'!$K$8+'Site work'!L5*'Site work'!$K$10))</f>
        <v>2728483.8291212041</v>
      </c>
      <c r="F21" s="49">
        <f>'Site work'!L6+('Site work'!L6*('Site work'!$K$9+'Site work'!$K$10+'Site work'!$K$12))+('Site work'!$K$11*('Site work'!L6+'Site work'!L6*'Site work'!$K$9+'Site work'!L6*'Site work'!$K$10))</f>
        <v>4449927.4972055331</v>
      </c>
      <c r="G21" s="49">
        <f>'Site work'!L13</f>
        <v>7178411.3263267372</v>
      </c>
    </row>
    <row r="22" spans="2:10" x14ac:dyDescent="0.2">
      <c r="B22" s="42" t="str">
        <f>IF(G22&lt;&gt;"",1+MAX($B$18:B21),"")</f>
        <v/>
      </c>
      <c r="C22" s="46"/>
      <c r="D22" s="8"/>
      <c r="E22" s="44"/>
      <c r="F22" s="44"/>
      <c r="G22" s="51"/>
    </row>
    <row r="23" spans="2:10" x14ac:dyDescent="0.2">
      <c r="B23" s="42"/>
      <c r="C23" s="46"/>
      <c r="D23" s="44" t="s">
        <v>36</v>
      </c>
      <c r="E23" s="44"/>
      <c r="F23" s="44"/>
      <c r="G23" s="51">
        <f>SUM(G20:G22)</f>
        <v>9831239.4965614956</v>
      </c>
    </row>
    <row r="24" spans="2:10" x14ac:dyDescent="0.2">
      <c r="B24" s="42" t="str">
        <f>IF(G24&lt;&gt;"",1+MAX($B$18:B23),"")</f>
        <v/>
      </c>
      <c r="C24" s="46"/>
      <c r="D24" s="8"/>
      <c r="E24" s="8"/>
      <c r="F24" s="8"/>
      <c r="G24" s="50"/>
    </row>
    <row r="25" spans="2:10" x14ac:dyDescent="0.2">
      <c r="B25" s="42" t="str">
        <f>IF(G25&lt;&gt;"",1+MAX($B$18:B24),"")</f>
        <v/>
      </c>
      <c r="C25" s="46"/>
      <c r="D25" s="8"/>
      <c r="E25" s="8"/>
      <c r="F25" s="8"/>
      <c r="G25" s="50"/>
    </row>
    <row r="26" spans="2:10" x14ac:dyDescent="0.2">
      <c r="B26" s="42" t="str">
        <f>IF(G26&lt;&gt;"",1+MAX($B$18:B25),"")</f>
        <v/>
      </c>
      <c r="C26" s="46"/>
      <c r="D26" s="44" t="s">
        <v>83</v>
      </c>
      <c r="E26" s="8"/>
      <c r="F26" s="8"/>
      <c r="G26" s="50"/>
    </row>
    <row r="27" spans="2:10" x14ac:dyDescent="0.2">
      <c r="B27" s="42">
        <f>IF(G27&lt;&gt;"",1+MAX($B$18:B25),"")</f>
        <v>3</v>
      </c>
      <c r="C27" s="46" t="str">
        <f>Concrete!C248</f>
        <v>ALT-1</v>
      </c>
      <c r="D27" s="8" t="str">
        <f>Concrete!D248</f>
        <v>FIRE TRAINING COMPLEX</v>
      </c>
      <c r="E27" s="49">
        <f>Concrete!G248+(Concrete!G248*(Concrete!$K$8+Concrete!$K$10+Concrete!$K$12))+(Concrete!$K$11*(Concrete!G248+Concrete!G248*Concrete!$K$8+Concrete!G248*Concrete!$K$10))</f>
        <v>30232.786366014276</v>
      </c>
      <c r="F27" s="49">
        <f>Concrete!I248+(Concrete!I248*(Concrete!$K$9+Concrete!$K$10+Concrete!$K$12))+(Concrete!$K$11*(Concrete!I248+Concrete!I248*Concrete!$K$9+Concrete!I248*Concrete!$K$10))</f>
        <v>42566.168286564098</v>
      </c>
      <c r="G27" s="49">
        <f>Concrete!L248</f>
        <v>72798.954652578366</v>
      </c>
    </row>
    <row r="28" spans="2:10" x14ac:dyDescent="0.2">
      <c r="B28" s="42">
        <f>IF(G28&lt;&gt;"",1+MAX($B$18:B26),"")</f>
        <v>3</v>
      </c>
      <c r="C28" s="46" t="str">
        <f>Concrete!C291</f>
        <v>ALT-2</v>
      </c>
      <c r="D28" s="8" t="str">
        <f>Concrete!D291</f>
        <v>CARPORT</v>
      </c>
      <c r="E28" s="49">
        <f>Concrete!G291+(Concrete!G291*(Concrete!$K$8+Concrete!$K$10+Concrete!$K$12))+(Concrete!$K$11*(Concrete!G291+Concrete!G291*Concrete!$K$8+Concrete!G291*Concrete!$K$10))</f>
        <v>7962.6785735288468</v>
      </c>
      <c r="F28" s="49">
        <f>Concrete!I291+(Concrete!I291*(Concrete!$K$9+Concrete!$K$10+Concrete!$K$12))+(Concrete!$K$11*(Concrete!I291+Concrete!I291*Concrete!$K$9+Concrete!I291*Concrete!$K$10))</f>
        <v>11703.033574284835</v>
      </c>
      <c r="G28" s="49">
        <f>Concrete!L291</f>
        <v>19665.71214781368</v>
      </c>
    </row>
    <row r="29" spans="2:10" x14ac:dyDescent="0.2">
      <c r="B29" s="42" t="str">
        <f>IF(G29&lt;&gt;"",1+MAX($B$18:B28),"")</f>
        <v/>
      </c>
      <c r="C29" s="46"/>
      <c r="D29" s="8"/>
      <c r="E29" s="8"/>
      <c r="F29" s="8"/>
      <c r="G29" s="50"/>
    </row>
    <row r="30" spans="2:10" x14ac:dyDescent="0.2">
      <c r="B30" s="42" t="str">
        <f>IF(G30&lt;&gt;"",1+MAX($B$18:B29),"")</f>
        <v/>
      </c>
      <c r="C30" s="46"/>
      <c r="D30" s="44" t="s">
        <v>84</v>
      </c>
      <c r="E30" s="8"/>
      <c r="F30" s="8"/>
      <c r="G30" s="50"/>
    </row>
    <row r="31" spans="2:10" x14ac:dyDescent="0.2">
      <c r="B31" s="42">
        <f>IF(G31&lt;&gt;"",1+MAX($B$18:B30),"")</f>
        <v>4</v>
      </c>
      <c r="C31" s="46" t="str">
        <f>'Site work'!C291</f>
        <v>ALT-1</v>
      </c>
      <c r="D31" s="8" t="str">
        <f>'Site work'!D291</f>
        <v>FIRE TRAINING COMPLEX</v>
      </c>
      <c r="E31" s="49">
        <f>'Site work'!G291+('Site work'!G291*('Site work'!$K$8+'Site work'!$K$10+'Site work'!$K$12))+('Site work'!$K$11*('Site work'!G291+'Site work'!G291*'Site work'!$K$8+'Site work'!G291*'Site work'!$K$10))</f>
        <v>15518.04667408722</v>
      </c>
      <c r="F31" s="49">
        <f>'Site work'!I291+('Site work'!I291*('Site work'!$K$9+'Site work'!$K$10+'Site work'!$K$12))+('Site work'!$K$11*('Site work'!I291+'Site work'!I291*'Site work'!$K$9+'Site work'!I291*'Site work'!$K$10))</f>
        <v>21500.76252731885</v>
      </c>
      <c r="G31" s="49">
        <f>'Site work'!L291</f>
        <v>37018.809201406075</v>
      </c>
    </row>
    <row r="32" spans="2:10" x14ac:dyDescent="0.2">
      <c r="B32" s="42">
        <f>IF(G32&lt;&gt;"",1+MAX($B$18:B30),"")</f>
        <v>4</v>
      </c>
      <c r="C32" s="46" t="str">
        <f>'Site work'!C309</f>
        <v>ALT-2</v>
      </c>
      <c r="D32" s="8" t="str">
        <f>'Site work'!D309</f>
        <v>CARPORT</v>
      </c>
      <c r="E32" s="49">
        <f>'Site work'!G309+('Site work'!G309*('Site work'!$K$8+'Site work'!$K$10+'Site work'!$K$12))+('Site work'!$K$11*('Site work'!G309+'Site work'!G309*'Site work'!$K$8+'Site work'!G309*'Site work'!$K$10))</f>
        <v>0</v>
      </c>
      <c r="F32" s="49">
        <f>'Site work'!I309+('Site work'!I309*('Site work'!$K$9+'Site work'!$K$10+'Site work'!$K$12))+('Site work'!$K$11*('Site work'!I309+'Site work'!I309*'Site work'!$K$9+'Site work'!I309*'Site work'!$K$10))</f>
        <v>6145.7370866446008</v>
      </c>
      <c r="G32" s="49">
        <f>'Site work'!L309</f>
        <v>6145.7370866446008</v>
      </c>
    </row>
    <row r="33" spans="2:7" x14ac:dyDescent="0.2">
      <c r="B33" s="42">
        <f>IF(G33&lt;&gt;"",1+MAX($B$18:B31),"")</f>
        <v>5</v>
      </c>
      <c r="C33" s="46" t="str">
        <f>'Site work'!C317</f>
        <v>ALT-3</v>
      </c>
      <c r="D33" s="8" t="str">
        <f>'Site work'!D317</f>
        <v>ALTERNATE CURBING</v>
      </c>
      <c r="E33" s="49">
        <f>'Site work'!G317+('Site work'!G317*('Site work'!$K$8+'Site work'!$K$10+'Site work'!$K$12))+('Site work'!$K$11*('Site work'!G317+'Site work'!G317*'Site work'!$K$8+'Site work'!G317*'Site work'!$K$10))</f>
        <v>78802.069004999998</v>
      </c>
      <c r="F33" s="49">
        <f>'Site work'!I317+('Site work'!I317*('Site work'!$K$9+'Site work'!$K$10+'Site work'!$K$12))+('Site work'!$K$11*('Site work'!I317+'Site work'!I317*'Site work'!$K$9+'Site work'!I317*'Site work'!$K$10))</f>
        <v>52717.41969361504</v>
      </c>
      <c r="G33" s="49">
        <f>'Site work'!L317</f>
        <v>131519.48869861505</v>
      </c>
    </row>
    <row r="34" spans="2:7" x14ac:dyDescent="0.2">
      <c r="B34" s="42">
        <f>IF(G34&lt;&gt;"",1+MAX($B$18:B32),"")</f>
        <v>5</v>
      </c>
      <c r="C34" s="46" t="str">
        <f>'Site work'!C325</f>
        <v>ALT-4</v>
      </c>
      <c r="D34" s="8" t="str">
        <f>'Site work'!D325</f>
        <v>IRRIGATION</v>
      </c>
      <c r="E34" s="49">
        <f>'Site work'!G325+('Site work'!G325*('Site work'!$K$8+'Site work'!$K$10+'Site work'!$K$12))+('Site work'!$K$11*('Site work'!G325+'Site work'!G325*'Site work'!$K$8+'Site work'!G325*'Site work'!$K$10))</f>
        <v>4126.6011875000004</v>
      </c>
      <c r="F34" s="49">
        <f>'Site work'!I325+('Site work'!I325*('Site work'!$K$9+'Site work'!$K$10+'Site work'!$K$12))+('Site work'!$K$11*('Site work'!I325+'Site work'!I325*'Site work'!$K$9+'Site work'!I325*'Site work'!$K$10))</f>
        <v>6181.1932000000006</v>
      </c>
      <c r="G34" s="49">
        <f>'Site work'!L325</f>
        <v>10307.7943875</v>
      </c>
    </row>
    <row r="35" spans="2:7" x14ac:dyDescent="0.2">
      <c r="B35" s="42">
        <f>IF(G35&lt;&gt;"",1+MAX($B$18:B33),"")</f>
        <v>6</v>
      </c>
      <c r="C35" s="46" t="str">
        <f>'Site work'!C330</f>
        <v>ALT-5</v>
      </c>
      <c r="D35" s="8" t="str">
        <f>'Site work'!D330</f>
        <v>LANDSCAPE</v>
      </c>
      <c r="E35" s="49">
        <f>'Site work'!G330+('Site work'!G330*('Site work'!$K$8+'Site work'!$K$10+'Site work'!$K$12))+('Site work'!$K$11*('Site work'!G330+'Site work'!G330*'Site work'!$K$8+'Site work'!G330*'Site work'!$K$10))</f>
        <v>0</v>
      </c>
      <c r="F35" s="49">
        <f>'Site work'!I330+('Site work'!I330*('Site work'!$K$9+'Site work'!$K$10+'Site work'!$K$12))+('Site work'!$K$11*('Site work'!I330+'Site work'!I330*'Site work'!$K$9+'Site work'!I330*'Site work'!$K$10))</f>
        <v>0</v>
      </c>
      <c r="G35" s="49">
        <f>'Site work'!L330</f>
        <v>0</v>
      </c>
    </row>
    <row r="36" spans="2:7" x14ac:dyDescent="0.2">
      <c r="B36" s="42" t="str">
        <f>IF(G36&lt;&gt;"",1+MAX($B$18:B35),"")</f>
        <v/>
      </c>
      <c r="C36" s="46"/>
      <c r="D36" s="8"/>
      <c r="E36" s="8"/>
      <c r="F36" s="8"/>
      <c r="G36" s="50"/>
    </row>
    <row r="37" spans="2:7" x14ac:dyDescent="0.2">
      <c r="B37" s="42" t="str">
        <f>IF(C37&lt;&gt;"",1+MAX($B$18:B24),"")</f>
        <v/>
      </c>
      <c r="C37" s="46"/>
      <c r="D37" s="8"/>
      <c r="E37" s="8"/>
      <c r="F37" s="8"/>
      <c r="G37" s="47"/>
    </row>
  </sheetData>
  <mergeCells count="22">
    <mergeCell ref="D4:G9"/>
    <mergeCell ref="B11:C11"/>
    <mergeCell ref="B12:D12"/>
    <mergeCell ref="E12:G12"/>
    <mergeCell ref="B13:D13"/>
    <mergeCell ref="E13:G13"/>
    <mergeCell ref="B17:G17"/>
    <mergeCell ref="B15:C16"/>
    <mergeCell ref="B2:G2"/>
    <mergeCell ref="H2:J2"/>
    <mergeCell ref="B3:G3"/>
    <mergeCell ref="H6:K6"/>
    <mergeCell ref="H8:K8"/>
    <mergeCell ref="H9:K9"/>
    <mergeCell ref="B10:G10"/>
    <mergeCell ref="H10:K10"/>
    <mergeCell ref="H11:K11"/>
    <mergeCell ref="H12:K12"/>
    <mergeCell ref="B14:C14"/>
    <mergeCell ref="E14:G14"/>
    <mergeCell ref="E15:G16"/>
    <mergeCell ref="D15:D16"/>
  </mergeCells>
  <printOptions horizontalCentered="1"/>
  <pageMargins left="0.25" right="0.25" top="0.375" bottom="0.375" header="0.25" footer="0.25"/>
  <pageSetup paperSize="9" fitToHeight="0" orientation="landscape" horizontalDpi="300" verticalDpi="300" r:id="rId1"/>
  <headerFooter alignWithMargins="0">
    <oddFooter>&amp;R&amp;"Arial,Bold"&amp;P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B2:EM308"/>
  <sheetViews>
    <sheetView showGridLines="0" showZeros="0" view="pageBreakPreview" zoomScale="85" zoomScaleNormal="100" zoomScaleSheetLayoutView="100" workbookViewId="0">
      <selection activeCell="D24" sqref="D24"/>
    </sheetView>
  </sheetViews>
  <sheetFormatPr defaultColWidth="9.140625" defaultRowHeight="12.75" x14ac:dyDescent="0.2"/>
  <cols>
    <col min="1" max="1" width="1" style="10" customWidth="1"/>
    <col min="2" max="2" width="6.5703125" style="10" customWidth="1"/>
    <col min="3" max="3" width="12.5703125" style="10" customWidth="1"/>
    <col min="4" max="4" width="60.5703125" style="1" customWidth="1"/>
    <col min="5" max="6" width="12.5703125" style="10" customWidth="1"/>
    <col min="7" max="8" width="12.5703125" style="13" customWidth="1"/>
    <col min="9" max="9" width="12.5703125" style="10" customWidth="1"/>
    <col min="10" max="12" width="12.5703125" style="13" customWidth="1"/>
    <col min="13" max="13" width="12.5703125" style="10" customWidth="1"/>
    <col min="14" max="46" width="9.140625" style="10"/>
    <col min="47" max="53" width="0" style="10" hidden="1" customWidth="1"/>
    <col min="54" max="16384" width="9.140625" style="10"/>
  </cols>
  <sheetData>
    <row r="2" spans="2:19" ht="21.95" customHeight="1" x14ac:dyDescent="0.2">
      <c r="B2" s="115" t="s">
        <v>0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2:19" x14ac:dyDescent="0.2">
      <c r="B3" s="93" t="s">
        <v>2</v>
      </c>
      <c r="C3" s="94"/>
      <c r="D3" s="94"/>
      <c r="E3" s="94"/>
      <c r="F3" s="94"/>
      <c r="G3" s="124"/>
      <c r="H3" s="118" t="s">
        <v>3</v>
      </c>
      <c r="I3" s="118"/>
      <c r="J3" s="118"/>
      <c r="K3" s="118"/>
      <c r="L3" s="118"/>
    </row>
    <row r="4" spans="2:19" ht="12.6" customHeight="1" x14ac:dyDescent="0.2">
      <c r="B4" s="87"/>
      <c r="C4" s="88"/>
      <c r="D4" s="88"/>
      <c r="E4" s="88"/>
      <c r="F4" s="88"/>
      <c r="G4" s="89"/>
      <c r="H4" s="123"/>
      <c r="I4" s="123"/>
      <c r="J4" s="123"/>
      <c r="K4" s="123"/>
      <c r="L4" s="123"/>
    </row>
    <row r="5" spans="2:19" ht="12.6" customHeight="1" x14ac:dyDescent="0.2">
      <c r="B5" s="35"/>
      <c r="C5" s="16"/>
      <c r="D5" s="16"/>
      <c r="E5" s="16"/>
      <c r="F5" s="16"/>
      <c r="G5" s="17"/>
      <c r="H5" s="122" t="s">
        <v>16</v>
      </c>
      <c r="I5" s="122"/>
      <c r="J5" s="122"/>
      <c r="K5" s="9"/>
      <c r="L5" s="66">
        <f>SUM(H22:H243)</f>
        <v>678937.78909625916</v>
      </c>
    </row>
    <row r="6" spans="2:19" ht="12.6" customHeight="1" x14ac:dyDescent="0.2">
      <c r="B6" s="36"/>
      <c r="D6" s="10"/>
      <c r="G6" s="18"/>
      <c r="H6" s="122" t="s">
        <v>17</v>
      </c>
      <c r="I6" s="122"/>
      <c r="J6" s="122"/>
      <c r="K6" s="9"/>
      <c r="L6" s="66">
        <f>SUM(J22:J243)</f>
        <v>1198285.4349175389</v>
      </c>
    </row>
    <row r="7" spans="2:19" ht="12.6" customHeight="1" x14ac:dyDescent="0.2">
      <c r="B7" s="36"/>
      <c r="G7" s="18"/>
      <c r="H7" s="122" t="s">
        <v>18</v>
      </c>
      <c r="I7" s="122"/>
      <c r="J7" s="122"/>
      <c r="K7" s="5"/>
      <c r="L7" s="66">
        <f>SUM(L5:L6)</f>
        <v>1877223.2240137979</v>
      </c>
      <c r="M7" s="68"/>
      <c r="N7" s="32"/>
      <c r="O7" s="32"/>
      <c r="P7" s="32"/>
      <c r="Q7" s="32"/>
      <c r="S7" s="2"/>
    </row>
    <row r="8" spans="2:19" ht="12.6" customHeight="1" x14ac:dyDescent="0.2">
      <c r="B8" s="36"/>
      <c r="G8" s="18"/>
      <c r="H8" s="122" t="s">
        <v>19</v>
      </c>
      <c r="I8" s="122"/>
      <c r="J8" s="122"/>
      <c r="K8" s="3">
        <v>6.25E-2</v>
      </c>
      <c r="L8" s="66">
        <f>L5*K8</f>
        <v>42433.611818516198</v>
      </c>
      <c r="M8" s="68"/>
      <c r="S8" s="2"/>
    </row>
    <row r="9" spans="2:19" ht="12.6" customHeight="1" x14ac:dyDescent="0.2">
      <c r="B9" s="36"/>
      <c r="G9" s="18"/>
      <c r="H9" s="122" t="s">
        <v>20</v>
      </c>
      <c r="I9" s="122"/>
      <c r="J9" s="122"/>
      <c r="K9" s="3">
        <v>0.1</v>
      </c>
      <c r="L9" s="66">
        <f>L6*K9</f>
        <v>119828.5434917539</v>
      </c>
      <c r="M9" s="68"/>
      <c r="N9" s="32"/>
      <c r="O9" s="32"/>
      <c r="P9" s="32"/>
      <c r="Q9" s="32"/>
      <c r="R9" s="4"/>
      <c r="S9" s="2"/>
    </row>
    <row r="10" spans="2:19" ht="12.6" customHeight="1" x14ac:dyDescent="0.2">
      <c r="B10" s="36"/>
      <c r="D10" s="31"/>
      <c r="G10" s="18"/>
      <c r="H10" s="122" t="s">
        <v>26</v>
      </c>
      <c r="I10" s="122"/>
      <c r="J10" s="122"/>
      <c r="K10" s="3">
        <v>0.25</v>
      </c>
      <c r="L10" s="66">
        <f>L7*K10</f>
        <v>469305.80600344948</v>
      </c>
      <c r="M10" s="68"/>
      <c r="N10" s="32"/>
      <c r="O10" s="32"/>
      <c r="P10" s="32"/>
      <c r="Q10" s="32"/>
      <c r="R10" s="4"/>
      <c r="S10" s="2"/>
    </row>
    <row r="11" spans="2:19" ht="12.6" customHeight="1" x14ac:dyDescent="0.2">
      <c r="B11" s="36"/>
      <c r="D11" s="31"/>
      <c r="G11" s="18"/>
      <c r="H11" s="122" t="s">
        <v>21</v>
      </c>
      <c r="I11" s="122"/>
      <c r="J11" s="122"/>
      <c r="K11" s="3">
        <v>0.02</v>
      </c>
      <c r="L11" s="66">
        <f>SUM(L7:L10)*K11</f>
        <v>50175.823706550356</v>
      </c>
      <c r="N11" s="32"/>
      <c r="O11" s="32"/>
      <c r="P11" s="32"/>
      <c r="Q11" s="32"/>
      <c r="R11" s="4"/>
      <c r="S11" s="2"/>
    </row>
    <row r="12" spans="2:19" ht="12.6" customHeight="1" x14ac:dyDescent="0.2">
      <c r="B12" s="36"/>
      <c r="G12" s="18"/>
      <c r="H12" s="122" t="s">
        <v>22</v>
      </c>
      <c r="I12" s="122"/>
      <c r="J12" s="122"/>
      <c r="K12" s="3">
        <v>0.05</v>
      </c>
      <c r="L12" s="66">
        <f>L7*K12</f>
        <v>93861.161200689909</v>
      </c>
      <c r="M12" s="53"/>
      <c r="N12" s="32"/>
      <c r="O12" s="32"/>
      <c r="P12" s="32"/>
      <c r="Q12" s="32"/>
      <c r="R12" s="4"/>
      <c r="S12" s="2"/>
    </row>
    <row r="13" spans="2:19" x14ac:dyDescent="0.2">
      <c r="B13" s="37"/>
      <c r="C13" s="19"/>
      <c r="D13" s="19"/>
      <c r="E13" s="19"/>
      <c r="F13" s="19"/>
      <c r="G13" s="20"/>
      <c r="H13" s="125" t="s">
        <v>23</v>
      </c>
      <c r="I13" s="125"/>
      <c r="J13" s="125"/>
      <c r="K13" s="65"/>
      <c r="L13" s="38">
        <f>SUM(L7:L12)</f>
        <v>2652828.1702347584</v>
      </c>
      <c r="N13" s="32"/>
      <c r="O13" s="32"/>
      <c r="P13" s="32"/>
      <c r="Q13" s="32"/>
      <c r="S13" s="2"/>
    </row>
    <row r="14" spans="2:19" x14ac:dyDescent="0.2">
      <c r="B14" s="39"/>
      <c r="C14" s="32"/>
      <c r="D14" s="32"/>
      <c r="E14" s="32"/>
      <c r="F14" s="32"/>
      <c r="G14" s="33"/>
      <c r="H14" s="125" t="s">
        <v>27</v>
      </c>
      <c r="I14" s="125"/>
      <c r="J14" s="125"/>
      <c r="K14" s="65"/>
      <c r="L14" s="72">
        <v>19279.68</v>
      </c>
    </row>
    <row r="15" spans="2:19" ht="12.75" customHeight="1" x14ac:dyDescent="0.2">
      <c r="B15" s="93" t="s">
        <v>25</v>
      </c>
      <c r="C15" s="94"/>
      <c r="D15" s="14" t="s">
        <v>32</v>
      </c>
      <c r="E15" s="93" t="s">
        <v>24</v>
      </c>
      <c r="F15" s="94"/>
      <c r="G15" s="94"/>
      <c r="H15" s="94"/>
      <c r="I15" s="14" t="s">
        <v>15</v>
      </c>
      <c r="J15" s="69"/>
      <c r="K15" s="69"/>
      <c r="L15" s="70"/>
    </row>
    <row r="16" spans="2:19" ht="12.75" customHeight="1" x14ac:dyDescent="0.2">
      <c r="B16" s="79">
        <v>45378</v>
      </c>
      <c r="C16" s="80"/>
      <c r="D16" s="101" t="s">
        <v>317</v>
      </c>
      <c r="E16" s="98" t="s">
        <v>63</v>
      </c>
      <c r="F16" s="80"/>
      <c r="G16" s="80"/>
      <c r="H16" s="99"/>
      <c r="I16" s="98"/>
      <c r="J16" s="80"/>
      <c r="K16" s="80"/>
      <c r="L16" s="99"/>
    </row>
    <row r="17" spans="2:143" x14ac:dyDescent="0.2">
      <c r="B17" s="81"/>
      <c r="C17" s="82"/>
      <c r="D17" s="102"/>
      <c r="E17" s="81"/>
      <c r="F17" s="82"/>
      <c r="G17" s="82"/>
      <c r="H17" s="100"/>
      <c r="I17" s="81"/>
      <c r="J17" s="82"/>
      <c r="K17" s="82"/>
      <c r="L17" s="100"/>
    </row>
    <row r="18" spans="2:143" ht="12.75" customHeight="1" x14ac:dyDescent="0.2">
      <c r="B18" s="116" t="s">
        <v>5</v>
      </c>
      <c r="C18" s="116" t="s">
        <v>31</v>
      </c>
      <c r="D18" s="114" t="s">
        <v>1</v>
      </c>
      <c r="E18" s="116" t="s">
        <v>6</v>
      </c>
      <c r="F18" s="114" t="s">
        <v>13</v>
      </c>
      <c r="G18" s="114" t="s">
        <v>12</v>
      </c>
      <c r="H18" s="117"/>
      <c r="I18" s="121" t="s">
        <v>11</v>
      </c>
      <c r="J18" s="121"/>
      <c r="K18" s="119" t="s">
        <v>4</v>
      </c>
      <c r="L18" s="119" t="s">
        <v>37</v>
      </c>
    </row>
    <row r="19" spans="2:143" ht="27.75" customHeight="1" x14ac:dyDescent="0.2">
      <c r="B19" s="114"/>
      <c r="C19" s="116"/>
      <c r="D19" s="114"/>
      <c r="E19" s="114"/>
      <c r="F19" s="114"/>
      <c r="G19" s="56" t="s">
        <v>10</v>
      </c>
      <c r="H19" s="56" t="s">
        <v>9</v>
      </c>
      <c r="I19" s="55" t="s">
        <v>10</v>
      </c>
      <c r="J19" s="56" t="s">
        <v>9</v>
      </c>
      <c r="K19" s="120"/>
      <c r="L19" s="120"/>
      <c r="M19" s="11"/>
    </row>
    <row r="20" spans="2:143" s="11" customFormat="1" x14ac:dyDescent="0.2">
      <c r="B20" s="54" t="str">
        <f>IF(F20&lt;&gt;"",1+MAX($B$2:B19),"")</f>
        <v/>
      </c>
      <c r="C20" s="25"/>
      <c r="D20" s="26"/>
      <c r="E20" s="22"/>
      <c r="F20" s="27"/>
      <c r="G20" s="28"/>
      <c r="H20" s="29"/>
      <c r="I20" s="28"/>
      <c r="J20" s="29"/>
      <c r="K20" s="30"/>
      <c r="L20" s="40"/>
    </row>
    <row r="21" spans="2:143" s="11" customFormat="1" x14ac:dyDescent="0.2">
      <c r="B21" s="12" t="str">
        <f>IF(F21&lt;&gt;"",1+MAX($B$2:B20),"")</f>
        <v/>
      </c>
      <c r="C21" s="12" t="s">
        <v>28</v>
      </c>
      <c r="D21" s="6" t="s">
        <v>7</v>
      </c>
      <c r="E21" s="113"/>
      <c r="F21" s="113"/>
      <c r="G21" s="45">
        <f>SUM(H22:H27)</f>
        <v>0</v>
      </c>
      <c r="H21" s="7">
        <f t="shared" ref="H21:H52" si="0">F21*G21</f>
        <v>0</v>
      </c>
      <c r="I21" s="45">
        <f>SUM(J22:J27)</f>
        <v>137000</v>
      </c>
      <c r="J21" s="7">
        <f t="shared" ref="J21:J52" si="1">F21*I21</f>
        <v>0</v>
      </c>
      <c r="K21" s="41">
        <f>SUM(K22:K27)</f>
        <v>137000</v>
      </c>
      <c r="L21" s="41">
        <f>(K21)+(G21*$K$8)+(I21*$K$9)+(K21*$K$10)+($K$11*((K21)+(G21*$K$8)+(I21*$K$9)+(K21*$K$10)))+(K21*$K$12)</f>
        <v>195499</v>
      </c>
    </row>
    <row r="22" spans="2:143" x14ac:dyDescent="0.2">
      <c r="B22" s="42"/>
      <c r="C22" s="46"/>
      <c r="D22" s="8"/>
      <c r="E22" s="21"/>
      <c r="F22" s="24"/>
      <c r="G22" s="15">
        <v>0</v>
      </c>
      <c r="H22" s="15">
        <f t="shared" si="0"/>
        <v>0</v>
      </c>
      <c r="I22" s="15">
        <v>0</v>
      </c>
      <c r="J22" s="15">
        <f t="shared" si="1"/>
        <v>0</v>
      </c>
      <c r="K22" s="15">
        <f t="shared" ref="K22:K27" si="2">H22+J22</f>
        <v>0</v>
      </c>
      <c r="L22" s="43"/>
      <c r="M22" s="11"/>
    </row>
    <row r="23" spans="2:143" s="11" customFormat="1" x14ac:dyDescent="0.2">
      <c r="B23" s="42">
        <f>IF(F23&lt;&gt;"",1+MAX($B$22:B22),"")</f>
        <v>1</v>
      </c>
      <c r="C23" s="46"/>
      <c r="D23" s="8" t="s">
        <v>368</v>
      </c>
      <c r="E23" s="21" t="s">
        <v>33</v>
      </c>
      <c r="F23" s="34">
        <v>1</v>
      </c>
      <c r="G23" s="67">
        <v>0</v>
      </c>
      <c r="H23" s="67">
        <f t="shared" si="0"/>
        <v>0</v>
      </c>
      <c r="I23" s="15">
        <v>4500</v>
      </c>
      <c r="J23" s="15">
        <f t="shared" si="1"/>
        <v>4500</v>
      </c>
      <c r="K23" s="15">
        <f t="shared" si="2"/>
        <v>4500</v>
      </c>
      <c r="L23" s="43"/>
      <c r="M23" s="73"/>
    </row>
    <row r="24" spans="2:143" s="11" customFormat="1" x14ac:dyDescent="0.2">
      <c r="B24" s="42">
        <f>IF(F24&lt;&gt;"",1+MAX($B$22:B23),"")</f>
        <v>2</v>
      </c>
      <c r="C24" s="46"/>
      <c r="D24" s="8" t="s">
        <v>369</v>
      </c>
      <c r="E24" s="21" t="s">
        <v>33</v>
      </c>
      <c r="F24" s="34">
        <v>1</v>
      </c>
      <c r="G24" s="67">
        <v>0</v>
      </c>
      <c r="H24" s="67">
        <f t="shared" si="0"/>
        <v>0</v>
      </c>
      <c r="I24" s="15">
        <v>85500</v>
      </c>
      <c r="J24" s="15">
        <f t="shared" si="1"/>
        <v>85500</v>
      </c>
      <c r="K24" s="15">
        <f t="shared" si="2"/>
        <v>85500</v>
      </c>
      <c r="L24" s="43"/>
      <c r="M24" s="73"/>
    </row>
    <row r="25" spans="2:143" s="11" customFormat="1" x14ac:dyDescent="0.2">
      <c r="B25" s="42">
        <f>IF(F25&lt;&gt;"",1+MAX($B$22:B24),"")</f>
        <v>3</v>
      </c>
      <c r="C25" s="46"/>
      <c r="D25" s="8" t="s">
        <v>370</v>
      </c>
      <c r="E25" s="21" t="s">
        <v>33</v>
      </c>
      <c r="F25" s="34">
        <v>1</v>
      </c>
      <c r="G25" s="67">
        <v>0</v>
      </c>
      <c r="H25" s="67">
        <f t="shared" si="0"/>
        <v>0</v>
      </c>
      <c r="I25" s="15">
        <v>31500</v>
      </c>
      <c r="J25" s="15">
        <f t="shared" si="1"/>
        <v>31500</v>
      </c>
      <c r="K25" s="15">
        <f t="shared" si="2"/>
        <v>31500</v>
      </c>
      <c r="L25" s="43"/>
      <c r="M25" s="73"/>
    </row>
    <row r="26" spans="2:143" s="11" customFormat="1" x14ac:dyDescent="0.2">
      <c r="B26" s="42">
        <f>IF(F26&lt;&gt;"",1+MAX($B$22:B25),"")</f>
        <v>4</v>
      </c>
      <c r="C26" s="46"/>
      <c r="D26" s="8" t="s">
        <v>371</v>
      </c>
      <c r="E26" s="21" t="s">
        <v>33</v>
      </c>
      <c r="F26" s="34">
        <v>1</v>
      </c>
      <c r="G26" s="67">
        <v>0</v>
      </c>
      <c r="H26" s="67">
        <f t="shared" si="0"/>
        <v>0</v>
      </c>
      <c r="I26" s="15">
        <v>15500</v>
      </c>
      <c r="J26" s="15">
        <f t="shared" si="1"/>
        <v>15500</v>
      </c>
      <c r="K26" s="15">
        <f t="shared" si="2"/>
        <v>15500</v>
      </c>
      <c r="L26" s="43"/>
      <c r="M26" s="73"/>
    </row>
    <row r="27" spans="2:143" s="11" customFormat="1" x14ac:dyDescent="0.2">
      <c r="B27" s="42" t="str">
        <f>IF(F27&lt;&gt;"",1+MAX($B$22:B22),"")</f>
        <v/>
      </c>
      <c r="C27" s="46"/>
      <c r="D27" s="8"/>
      <c r="E27" s="21"/>
      <c r="F27" s="34"/>
      <c r="G27" s="15">
        <v>0</v>
      </c>
      <c r="H27" s="15">
        <f t="shared" si="0"/>
        <v>0</v>
      </c>
      <c r="I27" s="15">
        <v>0</v>
      </c>
      <c r="J27" s="15">
        <f t="shared" si="1"/>
        <v>0</v>
      </c>
      <c r="K27" s="15">
        <f t="shared" si="2"/>
        <v>0</v>
      </c>
      <c r="L27" s="43"/>
    </row>
    <row r="28" spans="2:143" s="11" customFormat="1" ht="12.75" customHeight="1" x14ac:dyDescent="0.2">
      <c r="B28" s="12" t="str">
        <f>IF(F28&lt;&gt;"",1+MAX($B$22:B27),"")</f>
        <v/>
      </c>
      <c r="C28" s="12" t="s">
        <v>29</v>
      </c>
      <c r="D28" s="6" t="s">
        <v>8</v>
      </c>
      <c r="E28" s="113"/>
      <c r="F28" s="113"/>
      <c r="G28" s="45">
        <f>SUM(H29:H243)</f>
        <v>678937.78909625916</v>
      </c>
      <c r="H28" s="7">
        <f t="shared" si="0"/>
        <v>0</v>
      </c>
      <c r="I28" s="45">
        <f>SUM(J29:J243)</f>
        <v>1061285.4349175384</v>
      </c>
      <c r="J28" s="7">
        <f t="shared" si="1"/>
        <v>0</v>
      </c>
      <c r="K28" s="45">
        <f>SUM(K29:K243)</f>
        <v>1740223.2240137975</v>
      </c>
      <c r="L28" s="41">
        <f>(K28)+(G28*$K$8)+(I28*$K$9)+(K28*$K$10)+($K$11*((K28)+(G28*$K$8)+(I28*$K$9)+(K28*$K$10)))+(K28*$K$12)</f>
        <v>2457329.1702347575</v>
      </c>
    </row>
    <row r="29" spans="2:143" x14ac:dyDescent="0.2">
      <c r="B29" s="42" t="str">
        <f>IF(F29&lt;&gt;"",1+MAX($B$22:B28),"")</f>
        <v/>
      </c>
      <c r="C29" s="46"/>
      <c r="D29" s="8"/>
      <c r="E29" s="21"/>
      <c r="F29" s="34"/>
      <c r="G29" s="15">
        <v>0</v>
      </c>
      <c r="H29" s="15">
        <f t="shared" si="0"/>
        <v>0</v>
      </c>
      <c r="I29" s="15">
        <v>0</v>
      </c>
      <c r="J29" s="15">
        <f t="shared" si="1"/>
        <v>0</v>
      </c>
      <c r="K29" s="15">
        <f t="shared" ref="K29:K60" si="3">H29+J29</f>
        <v>0</v>
      </c>
      <c r="L29" s="43"/>
      <c r="EM29" s="11"/>
    </row>
    <row r="30" spans="2:143" x14ac:dyDescent="0.2">
      <c r="B30" s="57" t="str">
        <f>IF(F30&lt;&gt;"",1+MAX($B$22:B29),"")</f>
        <v/>
      </c>
      <c r="C30" s="58"/>
      <c r="D30" s="59" t="s">
        <v>64</v>
      </c>
      <c r="E30" s="21"/>
      <c r="F30" s="34"/>
      <c r="G30" s="15">
        <v>0</v>
      </c>
      <c r="H30" s="15">
        <f t="shared" si="0"/>
        <v>0</v>
      </c>
      <c r="I30" s="15">
        <v>0</v>
      </c>
      <c r="J30" s="15">
        <f t="shared" si="1"/>
        <v>0</v>
      </c>
      <c r="K30" s="15">
        <f t="shared" si="3"/>
        <v>0</v>
      </c>
      <c r="L30" s="43"/>
    </row>
    <row r="31" spans="2:143" x14ac:dyDescent="0.2">
      <c r="B31" s="42">
        <f>IF(F31&lt;&gt;"",1+MAX($B$22:B30),"")</f>
        <v>5</v>
      </c>
      <c r="C31" s="112" t="s">
        <v>243</v>
      </c>
      <c r="D31" s="8" t="s">
        <v>244</v>
      </c>
      <c r="E31" s="21" t="s">
        <v>44</v>
      </c>
      <c r="F31" s="34">
        <v>32506.7</v>
      </c>
      <c r="G31" s="15">
        <v>1.27728</v>
      </c>
      <c r="H31" s="15">
        <f t="shared" si="0"/>
        <v>41520.157776</v>
      </c>
      <c r="I31" s="15">
        <v>3.0765188999999999</v>
      </c>
      <c r="J31" s="15">
        <f t="shared" si="1"/>
        <v>100007.47692663</v>
      </c>
      <c r="K31" s="15">
        <f t="shared" si="3"/>
        <v>141527.63470262999</v>
      </c>
      <c r="L31" s="43"/>
    </row>
    <row r="32" spans="2:143" x14ac:dyDescent="0.2">
      <c r="B32" s="42">
        <f>IF(F32&lt;&gt;"",1+MAX($B$22:B31),"")</f>
        <v>6</v>
      </c>
      <c r="C32" s="112"/>
      <c r="D32" s="8" t="s">
        <v>359</v>
      </c>
      <c r="E32" s="21" t="s">
        <v>44</v>
      </c>
      <c r="F32" s="34">
        <v>297.67</v>
      </c>
      <c r="G32" s="15">
        <v>2.25298</v>
      </c>
      <c r="H32" s="15">
        <f t="shared" si="0"/>
        <v>670.64455659999999</v>
      </c>
      <c r="I32" s="15">
        <v>3.3781384000000001</v>
      </c>
      <c r="J32" s="15">
        <f t="shared" si="1"/>
        <v>1005.5704575280001</v>
      </c>
      <c r="K32" s="15">
        <f t="shared" si="3"/>
        <v>1676.2150141280001</v>
      </c>
      <c r="L32" s="43"/>
    </row>
    <row r="33" spans="2:12" ht="25.5" x14ac:dyDescent="0.2">
      <c r="B33" s="42">
        <f>IF(F33&lt;&gt;"",1+MAX($B$22:B32),"")</f>
        <v>7</v>
      </c>
      <c r="C33" s="112"/>
      <c r="D33" s="8" t="s">
        <v>245</v>
      </c>
      <c r="E33" s="21" t="s">
        <v>44</v>
      </c>
      <c r="F33" s="34">
        <v>234.45</v>
      </c>
      <c r="G33" s="15">
        <v>2.25298</v>
      </c>
      <c r="H33" s="15">
        <f t="shared" si="0"/>
        <v>528.21116099999995</v>
      </c>
      <c r="I33" s="15">
        <v>3.3781384000000001</v>
      </c>
      <c r="J33" s="15">
        <f t="shared" si="1"/>
        <v>792.00454788000002</v>
      </c>
      <c r="K33" s="15">
        <f t="shared" si="3"/>
        <v>1320.21570888</v>
      </c>
      <c r="L33" s="43"/>
    </row>
    <row r="34" spans="2:12" x14ac:dyDescent="0.2">
      <c r="B34" s="42">
        <f>IF(F34&lt;&gt;"",1+MAX($B$22:B33),"")</f>
        <v>8</v>
      </c>
      <c r="C34" s="112"/>
      <c r="D34" s="8" t="s">
        <v>246</v>
      </c>
      <c r="E34" s="21" t="s">
        <v>44</v>
      </c>
      <c r="F34" s="34">
        <v>1120.68</v>
      </c>
      <c r="G34" s="15">
        <v>2.25298</v>
      </c>
      <c r="H34" s="15">
        <f t="shared" si="0"/>
        <v>2524.8696264</v>
      </c>
      <c r="I34" s="15">
        <v>3.3781384000000001</v>
      </c>
      <c r="J34" s="15">
        <f t="shared" si="1"/>
        <v>3785.8121421120004</v>
      </c>
      <c r="K34" s="15">
        <f t="shared" si="3"/>
        <v>6310.6817685120004</v>
      </c>
      <c r="L34" s="43"/>
    </row>
    <row r="35" spans="2:12" ht="25.5" x14ac:dyDescent="0.2">
      <c r="B35" s="42">
        <f>IF(F35&lt;&gt;"",1+MAX($B$22:B34),"")</f>
        <v>9</v>
      </c>
      <c r="C35" s="112"/>
      <c r="D35" s="8" t="s">
        <v>247</v>
      </c>
      <c r="E35" s="21" t="s">
        <v>44</v>
      </c>
      <c r="F35" s="34">
        <v>8263.19</v>
      </c>
      <c r="G35" s="15">
        <v>3.9471499999999993</v>
      </c>
      <c r="H35" s="15">
        <f t="shared" si="0"/>
        <v>32616.050408499996</v>
      </c>
      <c r="I35" s="15">
        <v>3.6797579000000002</v>
      </c>
      <c r="J35" s="15">
        <f t="shared" si="1"/>
        <v>30406.538681701004</v>
      </c>
      <c r="K35" s="15">
        <f t="shared" si="3"/>
        <v>63022.589090201</v>
      </c>
      <c r="L35" s="43"/>
    </row>
    <row r="36" spans="2:12" x14ac:dyDescent="0.2">
      <c r="B36" s="42">
        <f>IF(F36&lt;&gt;"",1+MAX($B$22:B35),"")</f>
        <v>10</v>
      </c>
      <c r="C36" s="112"/>
      <c r="D36" s="8" t="s">
        <v>248</v>
      </c>
      <c r="E36" s="21" t="s">
        <v>44</v>
      </c>
      <c r="F36" s="34">
        <v>108.44</v>
      </c>
      <c r="G36" s="15">
        <v>4.8518900000000009</v>
      </c>
      <c r="H36" s="15">
        <f t="shared" si="0"/>
        <v>526.13895160000004</v>
      </c>
      <c r="I36" s="15">
        <v>3.6797579000000002</v>
      </c>
      <c r="J36" s="15">
        <f t="shared" si="1"/>
        <v>399.03294667599999</v>
      </c>
      <c r="K36" s="15">
        <f t="shared" si="3"/>
        <v>925.17189827600009</v>
      </c>
      <c r="L36" s="43"/>
    </row>
    <row r="37" spans="2:12" x14ac:dyDescent="0.2">
      <c r="B37" s="42" t="str">
        <f>IF(F37&lt;&gt;"",1+MAX($B$22:B36),"")</f>
        <v/>
      </c>
      <c r="C37" s="112"/>
      <c r="D37" s="8"/>
      <c r="E37" s="21"/>
      <c r="F37" s="34"/>
      <c r="G37" s="15">
        <v>0</v>
      </c>
      <c r="H37" s="15">
        <f t="shared" si="0"/>
        <v>0</v>
      </c>
      <c r="I37" s="15">
        <v>0</v>
      </c>
      <c r="J37" s="15">
        <f t="shared" si="1"/>
        <v>0</v>
      </c>
      <c r="K37" s="15">
        <f t="shared" si="3"/>
        <v>0</v>
      </c>
      <c r="L37" s="43"/>
    </row>
    <row r="38" spans="2:12" x14ac:dyDescent="0.2">
      <c r="B38" s="42" t="str">
        <f>IF(F38&lt;&gt;"",1+MAX($B$22:B37),"")</f>
        <v/>
      </c>
      <c r="C38" s="112"/>
      <c r="D38" s="44" t="s">
        <v>65</v>
      </c>
      <c r="E38" s="21"/>
      <c r="F38" s="34"/>
      <c r="G38" s="15">
        <v>0</v>
      </c>
      <c r="H38" s="15">
        <f t="shared" si="0"/>
        <v>0</v>
      </c>
      <c r="I38" s="15">
        <v>0</v>
      </c>
      <c r="J38" s="15">
        <f t="shared" si="1"/>
        <v>0</v>
      </c>
      <c r="K38" s="15">
        <f t="shared" si="3"/>
        <v>0</v>
      </c>
      <c r="L38" s="43"/>
    </row>
    <row r="39" spans="2:12" ht="38.25" x14ac:dyDescent="0.2">
      <c r="B39" s="42">
        <f>IF(F39&lt;&gt;"",1+MAX($B$22:B38),"")</f>
        <v>11</v>
      </c>
      <c r="C39" s="112"/>
      <c r="D39" s="8" t="s">
        <v>249</v>
      </c>
      <c r="E39" s="21" t="s">
        <v>45</v>
      </c>
      <c r="F39" s="61">
        <f>119.19*0.67*1.33/27</f>
        <v>3.933711444444445</v>
      </c>
      <c r="G39" s="15">
        <v>206.22749999999999</v>
      </c>
      <c r="H39" s="15">
        <f t="shared" si="0"/>
        <v>811.2394769091668</v>
      </c>
      <c r="I39" s="15">
        <v>332.51400000000024</v>
      </c>
      <c r="J39" s="15">
        <f t="shared" si="1"/>
        <v>1308.014127238001</v>
      </c>
      <c r="K39" s="15">
        <f t="shared" si="3"/>
        <v>2119.2536041471676</v>
      </c>
      <c r="L39" s="43"/>
    </row>
    <row r="40" spans="2:12" x14ac:dyDescent="0.2">
      <c r="B40" s="42" t="str">
        <f>IF(F40&lt;&gt;"",1+MAX($B$22:B39),"")</f>
        <v/>
      </c>
      <c r="C40" s="112"/>
      <c r="D40" s="8"/>
      <c r="E40" s="21"/>
      <c r="F40" s="34"/>
      <c r="G40" s="15">
        <v>0</v>
      </c>
      <c r="H40" s="15">
        <f t="shared" si="0"/>
        <v>0</v>
      </c>
      <c r="I40" s="15">
        <v>0</v>
      </c>
      <c r="J40" s="15">
        <f t="shared" si="1"/>
        <v>0</v>
      </c>
      <c r="K40" s="15">
        <f t="shared" si="3"/>
        <v>0</v>
      </c>
      <c r="L40" s="43"/>
    </row>
    <row r="41" spans="2:12" x14ac:dyDescent="0.2">
      <c r="B41" s="42" t="str">
        <f>IF(F41&lt;&gt;"",1+MAX($B$22:B40),"")</f>
        <v/>
      </c>
      <c r="C41" s="112"/>
      <c r="D41" s="44" t="s">
        <v>215</v>
      </c>
      <c r="E41" s="21"/>
      <c r="F41" s="34"/>
      <c r="G41" s="15">
        <v>0</v>
      </c>
      <c r="H41" s="15">
        <f t="shared" si="0"/>
        <v>0</v>
      </c>
      <c r="I41" s="15">
        <v>0</v>
      </c>
      <c r="J41" s="15">
        <f t="shared" si="1"/>
        <v>0</v>
      </c>
      <c r="K41" s="15">
        <f t="shared" si="3"/>
        <v>0</v>
      </c>
      <c r="L41" s="43"/>
    </row>
    <row r="42" spans="2:12" x14ac:dyDescent="0.2">
      <c r="B42" s="42">
        <f>IF(F42&lt;&gt;"",1+MAX($B$22:B41),"")</f>
        <v>12</v>
      </c>
      <c r="C42" s="112"/>
      <c r="D42" s="8" t="s">
        <v>250</v>
      </c>
      <c r="E42" s="21" t="s">
        <v>46</v>
      </c>
      <c r="F42" s="34">
        <v>5992.15</v>
      </c>
      <c r="G42" s="15">
        <v>0.83377999999999997</v>
      </c>
      <c r="H42" s="15">
        <f t="shared" si="0"/>
        <v>4996.1348269999999</v>
      </c>
      <c r="I42" s="15">
        <v>2.7085240000000002</v>
      </c>
      <c r="J42" s="15">
        <f t="shared" si="1"/>
        <v>16229.882086600001</v>
      </c>
      <c r="K42" s="15">
        <f t="shared" si="3"/>
        <v>21226.0169136</v>
      </c>
      <c r="L42" s="43"/>
    </row>
    <row r="43" spans="2:12" x14ac:dyDescent="0.2">
      <c r="B43" s="42" t="str">
        <f>IF(F43&lt;&gt;"",1+MAX($B$22:B42),"")</f>
        <v/>
      </c>
      <c r="C43" s="46"/>
      <c r="D43" s="8"/>
      <c r="E43" s="21"/>
      <c r="F43" s="34"/>
      <c r="G43" s="15">
        <v>0</v>
      </c>
      <c r="H43" s="15">
        <f t="shared" si="0"/>
        <v>0</v>
      </c>
      <c r="I43" s="15">
        <v>0</v>
      </c>
      <c r="J43" s="15">
        <f t="shared" si="1"/>
        <v>0</v>
      </c>
      <c r="K43" s="15">
        <f t="shared" si="3"/>
        <v>0</v>
      </c>
      <c r="L43" s="43"/>
    </row>
    <row r="44" spans="2:12" x14ac:dyDescent="0.2">
      <c r="B44" s="57" t="str">
        <f>IF(F44&lt;&gt;"",1+MAX($B$22:B43),"")</f>
        <v/>
      </c>
      <c r="C44" s="58"/>
      <c r="D44" s="59" t="s">
        <v>251</v>
      </c>
      <c r="E44" s="21"/>
      <c r="F44" s="34"/>
      <c r="G44" s="15">
        <v>0</v>
      </c>
      <c r="H44" s="15">
        <f t="shared" si="0"/>
        <v>0</v>
      </c>
      <c r="I44" s="15">
        <v>0</v>
      </c>
      <c r="J44" s="15">
        <f t="shared" si="1"/>
        <v>0</v>
      </c>
      <c r="K44" s="15">
        <f t="shared" si="3"/>
        <v>0</v>
      </c>
      <c r="L44" s="43"/>
    </row>
    <row r="45" spans="2:12" ht="12.75" customHeight="1" x14ac:dyDescent="0.2">
      <c r="B45" s="42">
        <f>IF(F45&lt;&gt;"",1+MAX($B$22:B44),"")</f>
        <v>13</v>
      </c>
      <c r="C45" s="112" t="s">
        <v>243</v>
      </c>
      <c r="D45" s="8" t="s">
        <v>252</v>
      </c>
      <c r="E45" s="21" t="s">
        <v>45</v>
      </c>
      <c r="F45" s="61">
        <f>176.49*0.67*2.67/27</f>
        <v>11.693443000000002</v>
      </c>
      <c r="G45" s="15">
        <v>243.48150000000001</v>
      </c>
      <c r="H45" s="15">
        <f t="shared" si="0"/>
        <v>2847.1370418045008</v>
      </c>
      <c r="I45" s="15">
        <v>315.29409748200004</v>
      </c>
      <c r="J45" s="15">
        <f t="shared" si="1"/>
        <v>3686.8735571422117</v>
      </c>
      <c r="K45" s="15">
        <f t="shared" si="3"/>
        <v>6534.010598946712</v>
      </c>
      <c r="L45" s="43"/>
    </row>
    <row r="46" spans="2:12" x14ac:dyDescent="0.2">
      <c r="B46" s="42">
        <f>IF(F46&lt;&gt;"",1+MAX($B$22:B45),"")</f>
        <v>14</v>
      </c>
      <c r="C46" s="112"/>
      <c r="D46" s="8" t="s">
        <v>253</v>
      </c>
      <c r="E46" s="21" t="s">
        <v>45</v>
      </c>
      <c r="F46" s="61">
        <f>40.38*0.67*3.16/27</f>
        <v>3.1663902222222227</v>
      </c>
      <c r="G46" s="15">
        <v>243.48150000000001</v>
      </c>
      <c r="H46" s="15">
        <f t="shared" si="0"/>
        <v>770.95744089200014</v>
      </c>
      <c r="I46" s="15">
        <v>315.29409748200004</v>
      </c>
      <c r="J46" s="15">
        <f t="shared" si="1"/>
        <v>998.34414739138526</v>
      </c>
      <c r="K46" s="15">
        <f t="shared" si="3"/>
        <v>1769.3015882833854</v>
      </c>
      <c r="L46" s="43"/>
    </row>
    <row r="47" spans="2:12" ht="25.5" x14ac:dyDescent="0.2">
      <c r="B47" s="42">
        <f>IF(F47&lt;&gt;"",1+MAX($B$22:B46),"")</f>
        <v>15</v>
      </c>
      <c r="C47" s="112"/>
      <c r="D47" s="8" t="s">
        <v>254</v>
      </c>
      <c r="E47" s="21" t="s">
        <v>45</v>
      </c>
      <c r="F47" s="61">
        <f>57.19*0.67*3.16/27</f>
        <v>4.4845432592592598</v>
      </c>
      <c r="G47" s="15">
        <v>243.48150000000001</v>
      </c>
      <c r="H47" s="15">
        <f t="shared" si="0"/>
        <v>1091.9033195793336</v>
      </c>
      <c r="I47" s="15">
        <v>315.29409748200004</v>
      </c>
      <c r="J47" s="15">
        <f t="shared" si="1"/>
        <v>1413.9500195471353</v>
      </c>
      <c r="K47" s="15">
        <f t="shared" si="3"/>
        <v>2505.8533391264691</v>
      </c>
      <c r="L47" s="43"/>
    </row>
    <row r="48" spans="2:12" ht="25.5" x14ac:dyDescent="0.2">
      <c r="B48" s="42">
        <f>IF(F48&lt;&gt;"",1+MAX($B$22:B47),"")</f>
        <v>16</v>
      </c>
      <c r="C48" s="112"/>
      <c r="D48" s="8" t="s">
        <v>255</v>
      </c>
      <c r="E48" s="21" t="s">
        <v>45</v>
      </c>
      <c r="F48" s="61">
        <f>11.3*0.67*2.5/27</f>
        <v>0.7010185185185186</v>
      </c>
      <c r="G48" s="15">
        <v>243.48150000000001</v>
      </c>
      <c r="H48" s="15">
        <f t="shared" si="0"/>
        <v>170.68504041666668</v>
      </c>
      <c r="I48" s="15">
        <v>315.29409748200004</v>
      </c>
      <c r="J48" s="15">
        <f t="shared" si="1"/>
        <v>221.02700111446507</v>
      </c>
      <c r="K48" s="15">
        <f t="shared" si="3"/>
        <v>391.71204153113172</v>
      </c>
      <c r="L48" s="43"/>
    </row>
    <row r="49" spans="2:12" ht="12.75" customHeight="1" x14ac:dyDescent="0.2">
      <c r="B49" s="42">
        <f>IF(F49&lt;&gt;"",1+MAX($B$22:B48),"")</f>
        <v>17</v>
      </c>
      <c r="C49" s="112"/>
      <c r="D49" s="8" t="s">
        <v>256</v>
      </c>
      <c r="E49" s="21" t="s">
        <v>45</v>
      </c>
      <c r="F49" s="61">
        <f>11.24*3.16*0.67/27</f>
        <v>0.88138251851851857</v>
      </c>
      <c r="G49" s="15">
        <v>243.48150000000001</v>
      </c>
      <c r="H49" s="15">
        <f t="shared" si="0"/>
        <v>214.60033768266669</v>
      </c>
      <c r="I49" s="15">
        <v>315.29409748200004</v>
      </c>
      <c r="J49" s="15">
        <f t="shared" si="1"/>
        <v>277.89470571270851</v>
      </c>
      <c r="K49" s="15">
        <f t="shared" si="3"/>
        <v>492.49504339537521</v>
      </c>
      <c r="L49" s="43"/>
    </row>
    <row r="50" spans="2:12" x14ac:dyDescent="0.2">
      <c r="B50" s="42">
        <f>IF(F50&lt;&gt;"",1+MAX($B$22:B49),"")</f>
        <v>18</v>
      </c>
      <c r="C50" s="112"/>
      <c r="D50" s="8" t="s">
        <v>257</v>
      </c>
      <c r="E50" s="21" t="s">
        <v>45</v>
      </c>
      <c r="F50" s="61">
        <f>64.79*0.83*3.16/27</f>
        <v>6.2937485925925936</v>
      </c>
      <c r="G50" s="15">
        <v>243.48150000000001</v>
      </c>
      <c r="H50" s="15">
        <f t="shared" si="0"/>
        <v>1532.4113479473338</v>
      </c>
      <c r="I50" s="15">
        <v>315.29409748200004</v>
      </c>
      <c r="J50" s="15">
        <f t="shared" si="1"/>
        <v>1984.3817822800897</v>
      </c>
      <c r="K50" s="15">
        <f t="shared" si="3"/>
        <v>3516.7931302274237</v>
      </c>
      <c r="L50" s="43"/>
    </row>
    <row r="51" spans="2:12" x14ac:dyDescent="0.2">
      <c r="B51" s="42">
        <f>IF(F51&lt;&gt;"",1+MAX($B$22:B50),"")</f>
        <v>19</v>
      </c>
      <c r="C51" s="112"/>
      <c r="D51" s="8" t="s">
        <v>258</v>
      </c>
      <c r="E51" s="21" t="s">
        <v>45</v>
      </c>
      <c r="F51" s="61">
        <f>100.38*0.83*4.83/27</f>
        <v>14.904199333333334</v>
      </c>
      <c r="G51" s="15">
        <v>243.48150000000001</v>
      </c>
      <c r="H51" s="15">
        <f t="shared" si="0"/>
        <v>3628.8968099790004</v>
      </c>
      <c r="I51" s="15">
        <v>315.29409748200004</v>
      </c>
      <c r="J51" s="15">
        <f t="shared" si="1"/>
        <v>4699.2060774951606</v>
      </c>
      <c r="K51" s="15">
        <f t="shared" si="3"/>
        <v>8328.1028874741605</v>
      </c>
      <c r="L51" s="43"/>
    </row>
    <row r="52" spans="2:12" ht="38.25" x14ac:dyDescent="0.2">
      <c r="B52" s="42">
        <f>IF(F52&lt;&gt;"",1+MAX($B$22:B51),"")</f>
        <v>20</v>
      </c>
      <c r="C52" s="112"/>
      <c r="D52" s="8" t="s">
        <v>259</v>
      </c>
      <c r="E52" s="21" t="s">
        <v>45</v>
      </c>
      <c r="F52" s="61">
        <f>28.79*0.83*5/27</f>
        <v>4.4251296296296294</v>
      </c>
      <c r="G52" s="15">
        <v>243.48150000000001</v>
      </c>
      <c r="H52" s="15">
        <f t="shared" si="0"/>
        <v>1077.4371999166667</v>
      </c>
      <c r="I52" s="15">
        <v>315.29409748200004</v>
      </c>
      <c r="J52" s="15">
        <f t="shared" si="1"/>
        <v>1395.217252814931</v>
      </c>
      <c r="K52" s="15">
        <f t="shared" si="3"/>
        <v>2472.6544527315978</v>
      </c>
      <c r="L52" s="43"/>
    </row>
    <row r="53" spans="2:12" ht="38.25" x14ac:dyDescent="0.2">
      <c r="B53" s="42">
        <f>IF(F53&lt;&gt;"",1+MAX($B$22:B52),"")</f>
        <v>21</v>
      </c>
      <c r="C53" s="112"/>
      <c r="D53" s="8" t="s">
        <v>260</v>
      </c>
      <c r="E53" s="21" t="s">
        <v>45</v>
      </c>
      <c r="F53" s="61">
        <f>156.82*0.83*5.5/27</f>
        <v>26.514196296296294</v>
      </c>
      <c r="G53" s="15">
        <v>243.48150000000001</v>
      </c>
      <c r="H53" s="15">
        <f t="shared" ref="H53:H84" si="4">F53*G53</f>
        <v>6455.7162855166662</v>
      </c>
      <c r="I53" s="15">
        <v>315.29409748200004</v>
      </c>
      <c r="J53" s="15">
        <f t="shared" ref="J53:J84" si="5">F53*I53</f>
        <v>8359.769591701328</v>
      </c>
      <c r="K53" s="15">
        <f t="shared" si="3"/>
        <v>14815.485877217994</v>
      </c>
      <c r="L53" s="43"/>
    </row>
    <row r="54" spans="2:12" x14ac:dyDescent="0.2">
      <c r="B54" s="42">
        <f>IF(F54&lt;&gt;"",1+MAX($B$22:B53),"")</f>
        <v>22</v>
      </c>
      <c r="C54" s="112"/>
      <c r="D54" s="8" t="s">
        <v>261</v>
      </c>
      <c r="E54" s="21" t="s">
        <v>45</v>
      </c>
      <c r="F54" s="61">
        <f>52.69*1*3.67/27</f>
        <v>7.1619370370370365</v>
      </c>
      <c r="G54" s="15">
        <v>243.48150000000001</v>
      </c>
      <c r="H54" s="15">
        <f t="shared" si="4"/>
        <v>1743.7991726833334</v>
      </c>
      <c r="I54" s="15">
        <v>315.29409748200004</v>
      </c>
      <c r="J54" s="15">
        <f t="shared" si="5"/>
        <v>2258.1164743155018</v>
      </c>
      <c r="K54" s="15">
        <f t="shared" si="3"/>
        <v>4001.9156469988352</v>
      </c>
      <c r="L54" s="43"/>
    </row>
    <row r="55" spans="2:12" x14ac:dyDescent="0.2">
      <c r="B55" s="42">
        <f>IF(F55&lt;&gt;"",1+MAX($B$22:B54),"")</f>
        <v>23</v>
      </c>
      <c r="C55" s="112"/>
      <c r="D55" s="8" t="s">
        <v>262</v>
      </c>
      <c r="E55" s="21" t="s">
        <v>45</v>
      </c>
      <c r="F55" s="61">
        <f>32.72*1.25*2.83/27</f>
        <v>4.2869259259259263</v>
      </c>
      <c r="G55" s="15">
        <v>243.48150000000001</v>
      </c>
      <c r="H55" s="15">
        <f t="shared" si="4"/>
        <v>1043.7871548333335</v>
      </c>
      <c r="I55" s="15">
        <v>315.29409748200004</v>
      </c>
      <c r="J55" s="15">
        <f t="shared" si="5"/>
        <v>1351.6424407870022</v>
      </c>
      <c r="K55" s="15">
        <f t="shared" si="3"/>
        <v>2395.4295956203359</v>
      </c>
      <c r="L55" s="43"/>
    </row>
    <row r="56" spans="2:12" x14ac:dyDescent="0.2">
      <c r="B56" s="42">
        <f>IF(F56&lt;&gt;"",1+MAX($B$22:B55),"")</f>
        <v>24</v>
      </c>
      <c r="C56" s="112"/>
      <c r="D56" s="8" t="s">
        <v>263</v>
      </c>
      <c r="E56" s="21" t="s">
        <v>45</v>
      </c>
      <c r="F56" s="61">
        <f>105.86*1.25*2.67/27</f>
        <v>13.08547222222222</v>
      </c>
      <c r="G56" s="15">
        <v>243.48150000000001</v>
      </c>
      <c r="H56" s="15">
        <f t="shared" si="4"/>
        <v>3186.0704048749999</v>
      </c>
      <c r="I56" s="15">
        <v>315.29409748200004</v>
      </c>
      <c r="J56" s="15">
        <f t="shared" si="5"/>
        <v>4125.7721544313363</v>
      </c>
      <c r="K56" s="15">
        <f t="shared" si="3"/>
        <v>7311.8425593063366</v>
      </c>
      <c r="L56" s="43"/>
    </row>
    <row r="57" spans="2:12" ht="12.75" customHeight="1" x14ac:dyDescent="0.2">
      <c r="B57" s="42">
        <f>IF(F57&lt;&gt;"",1+MAX($B$22:B56),"")</f>
        <v>25</v>
      </c>
      <c r="C57" s="112"/>
      <c r="D57" s="8" t="s">
        <v>264</v>
      </c>
      <c r="E57" s="21" t="s">
        <v>45</v>
      </c>
      <c r="F57" s="61">
        <f>646.29*1.25*3.25/27</f>
        <v>97.242708333333326</v>
      </c>
      <c r="G57" s="15">
        <v>243.48150000000001</v>
      </c>
      <c r="H57" s="15">
        <f t="shared" si="4"/>
        <v>23676.800489062498</v>
      </c>
      <c r="I57" s="15">
        <v>315.29409748200004</v>
      </c>
      <c r="J57" s="15">
        <f t="shared" si="5"/>
        <v>30660.051960663695</v>
      </c>
      <c r="K57" s="15">
        <f t="shared" si="3"/>
        <v>54336.852449726197</v>
      </c>
      <c r="L57" s="43"/>
    </row>
    <row r="58" spans="2:12" x14ac:dyDescent="0.2">
      <c r="B58" s="42">
        <f>IF(F58&lt;&gt;"",1+MAX($B$22:B57),"")</f>
        <v>26</v>
      </c>
      <c r="C58" s="112"/>
      <c r="D58" s="8" t="s">
        <v>265</v>
      </c>
      <c r="E58" s="21" t="s">
        <v>45</v>
      </c>
      <c r="F58" s="61">
        <f>29.77*1.25*4.83/27</f>
        <v>6.6569027777777778</v>
      </c>
      <c r="G58" s="15">
        <v>243.48150000000001</v>
      </c>
      <c r="H58" s="15">
        <f t="shared" si="4"/>
        <v>1620.8326736875001</v>
      </c>
      <c r="I58" s="15">
        <v>315.29409748200004</v>
      </c>
      <c r="J58" s="15">
        <f t="shared" si="5"/>
        <v>2098.8821533448636</v>
      </c>
      <c r="K58" s="15">
        <f t="shared" si="3"/>
        <v>3719.7148270323637</v>
      </c>
      <c r="L58" s="43"/>
    </row>
    <row r="59" spans="2:12" x14ac:dyDescent="0.2">
      <c r="B59" s="42">
        <f>IF(F59&lt;&gt;"",1+MAX($B$22:B58),"")</f>
        <v>27</v>
      </c>
      <c r="C59" s="112"/>
      <c r="D59" s="8" t="s">
        <v>266</v>
      </c>
      <c r="E59" s="21" t="s">
        <v>45</v>
      </c>
      <c r="F59" s="61">
        <f>68.1*1.25*4.16/27</f>
        <v>13.115555555555556</v>
      </c>
      <c r="G59" s="15">
        <v>243.48150000000001</v>
      </c>
      <c r="H59" s="15">
        <f t="shared" si="4"/>
        <v>3193.3951400000001</v>
      </c>
      <c r="I59" s="15">
        <v>315.29409748200004</v>
      </c>
      <c r="J59" s="15">
        <f t="shared" si="5"/>
        <v>4135.2572518639208</v>
      </c>
      <c r="K59" s="15">
        <f t="shared" si="3"/>
        <v>7328.6523918639214</v>
      </c>
      <c r="L59" s="43"/>
    </row>
    <row r="60" spans="2:12" x14ac:dyDescent="0.2">
      <c r="B60" s="42">
        <f>IF(F60&lt;&gt;"",1+MAX($B$22:B59),"")</f>
        <v>28</v>
      </c>
      <c r="C60" s="112"/>
      <c r="D60" s="8" t="s">
        <v>267</v>
      </c>
      <c r="E60" s="21" t="s">
        <v>45</v>
      </c>
      <c r="F60" s="61">
        <f>118.1*1.83*2.67/27</f>
        <v>21.372163333333333</v>
      </c>
      <c r="G60" s="15">
        <v>243.48150000000001</v>
      </c>
      <c r="H60" s="15">
        <f t="shared" si="4"/>
        <v>5203.7263866450003</v>
      </c>
      <c r="I60" s="15">
        <v>315.29409748200004</v>
      </c>
      <c r="J60" s="15">
        <f t="shared" si="5"/>
        <v>6738.5169494212269</v>
      </c>
      <c r="K60" s="15">
        <f t="shared" si="3"/>
        <v>11942.243336066227</v>
      </c>
      <c r="L60" s="43"/>
    </row>
    <row r="61" spans="2:12" ht="12.75" customHeight="1" x14ac:dyDescent="0.2">
      <c r="B61" s="42">
        <f>IF(F61&lt;&gt;"",1+MAX($B$22:B60),"")</f>
        <v>29</v>
      </c>
      <c r="C61" s="112"/>
      <c r="D61" s="8" t="s">
        <v>268</v>
      </c>
      <c r="E61" s="21" t="s">
        <v>45</v>
      </c>
      <c r="F61" s="61">
        <f>20.3*1.83*3.16/27</f>
        <v>4.3478088888888893</v>
      </c>
      <c r="G61" s="15">
        <v>243.48150000000001</v>
      </c>
      <c r="H61" s="15">
        <f t="shared" si="4"/>
        <v>1058.6110299800002</v>
      </c>
      <c r="I61" s="15">
        <v>315.29409748200004</v>
      </c>
      <c r="J61" s="15">
        <f t="shared" si="5"/>
        <v>1370.8384796464397</v>
      </c>
      <c r="K61" s="15">
        <f t="shared" ref="K61:K91" si="6">H61+J61</f>
        <v>2429.44950962644</v>
      </c>
      <c r="L61" s="43"/>
    </row>
    <row r="62" spans="2:12" x14ac:dyDescent="0.2">
      <c r="B62" s="42" t="str">
        <f>IF(F62&lt;&gt;"",1+MAX($B$22:B61),"")</f>
        <v/>
      </c>
      <c r="C62" s="112"/>
      <c r="D62" s="8"/>
      <c r="E62" s="21"/>
      <c r="F62" s="61"/>
      <c r="G62" s="15">
        <v>0</v>
      </c>
      <c r="H62" s="15">
        <f t="shared" si="4"/>
        <v>0</v>
      </c>
      <c r="I62" s="15">
        <v>0</v>
      </c>
      <c r="J62" s="15">
        <f t="shared" si="5"/>
        <v>0</v>
      </c>
      <c r="K62" s="15">
        <f t="shared" si="6"/>
        <v>0</v>
      </c>
      <c r="L62" s="43"/>
    </row>
    <row r="63" spans="2:12" x14ac:dyDescent="0.2">
      <c r="B63" s="42" t="str">
        <f>IF(F63&lt;&gt;"",1+MAX($B$22:B62),"")</f>
        <v/>
      </c>
      <c r="C63" s="112"/>
      <c r="D63" s="44" t="s">
        <v>269</v>
      </c>
      <c r="E63" s="21"/>
      <c r="F63" s="61"/>
      <c r="G63" s="15">
        <v>0</v>
      </c>
      <c r="H63" s="15">
        <f t="shared" si="4"/>
        <v>0</v>
      </c>
      <c r="I63" s="15">
        <v>0</v>
      </c>
      <c r="J63" s="15">
        <f t="shared" si="5"/>
        <v>0</v>
      </c>
      <c r="K63" s="15">
        <f t="shared" si="6"/>
        <v>0</v>
      </c>
      <c r="L63" s="43"/>
    </row>
    <row r="64" spans="2:12" x14ac:dyDescent="0.2">
      <c r="B64" s="42">
        <f>IF(F64&lt;&gt;"",1+MAX($B$22:B63),"")</f>
        <v>30</v>
      </c>
      <c r="C64" s="112"/>
      <c r="D64" s="8" t="s">
        <v>116</v>
      </c>
      <c r="E64" s="21" t="s">
        <v>44</v>
      </c>
      <c r="F64" s="34">
        <f>5957*2+62*2</f>
        <v>12038</v>
      </c>
      <c r="G64" s="15">
        <v>1.774</v>
      </c>
      <c r="H64" s="15">
        <f t="shared" si="4"/>
        <v>21355.412</v>
      </c>
      <c r="I64" s="15">
        <v>2.5053846999999996</v>
      </c>
      <c r="J64" s="15">
        <f t="shared" si="5"/>
        <v>30159.821018599996</v>
      </c>
      <c r="K64" s="15">
        <f t="shared" si="6"/>
        <v>51515.233018599996</v>
      </c>
      <c r="L64" s="43"/>
    </row>
    <row r="65" spans="2:12" x14ac:dyDescent="0.2">
      <c r="B65" s="42" t="str">
        <f>IF(F65&lt;&gt;"",1+MAX($B$22:B64),"")</f>
        <v/>
      </c>
      <c r="C65" s="46"/>
      <c r="D65" s="8"/>
      <c r="E65" s="21"/>
      <c r="F65" s="61"/>
      <c r="G65" s="15">
        <v>0</v>
      </c>
      <c r="H65" s="15">
        <f t="shared" si="4"/>
        <v>0</v>
      </c>
      <c r="I65" s="15">
        <v>0</v>
      </c>
      <c r="J65" s="15">
        <f t="shared" si="5"/>
        <v>0</v>
      </c>
      <c r="K65" s="15">
        <f t="shared" si="6"/>
        <v>0</v>
      </c>
      <c r="L65" s="43"/>
    </row>
    <row r="66" spans="2:12" x14ac:dyDescent="0.2">
      <c r="B66" s="57" t="str">
        <f>IF(F66&lt;&gt;"",1+MAX($B$22:B65),"")</f>
        <v/>
      </c>
      <c r="C66" s="58"/>
      <c r="D66" s="59" t="s">
        <v>270</v>
      </c>
      <c r="E66" s="21"/>
      <c r="F66" s="34"/>
      <c r="G66" s="15">
        <v>0</v>
      </c>
      <c r="H66" s="15">
        <f t="shared" si="4"/>
        <v>0</v>
      </c>
      <c r="I66" s="15">
        <v>0</v>
      </c>
      <c r="J66" s="15">
        <f t="shared" si="5"/>
        <v>0</v>
      </c>
      <c r="K66" s="15">
        <f t="shared" si="6"/>
        <v>0</v>
      </c>
      <c r="L66" s="43"/>
    </row>
    <row r="67" spans="2:12" x14ac:dyDescent="0.2">
      <c r="B67" s="42" t="str">
        <f>IF(F67&lt;&gt;"",1+MAX($B$22:B66),"")</f>
        <v/>
      </c>
      <c r="C67" s="46"/>
      <c r="D67" s="8"/>
      <c r="E67" s="21"/>
      <c r="F67" s="34"/>
      <c r="G67" s="15">
        <v>0</v>
      </c>
      <c r="H67" s="15">
        <f t="shared" si="4"/>
        <v>0</v>
      </c>
      <c r="I67" s="15">
        <v>0</v>
      </c>
      <c r="J67" s="15">
        <f t="shared" si="5"/>
        <v>0</v>
      </c>
      <c r="K67" s="15">
        <f t="shared" si="6"/>
        <v>0</v>
      </c>
      <c r="L67" s="43"/>
    </row>
    <row r="68" spans="2:12" x14ac:dyDescent="0.2">
      <c r="B68" s="42" t="str">
        <f>IF(F68&lt;&gt;"",1+MAX($B$22:B67),"")</f>
        <v/>
      </c>
      <c r="C68" s="46"/>
      <c r="D68" s="44" t="s">
        <v>271</v>
      </c>
      <c r="E68" s="21"/>
      <c r="F68" s="34"/>
      <c r="G68" s="15">
        <v>0</v>
      </c>
      <c r="H68" s="15">
        <f t="shared" si="4"/>
        <v>0</v>
      </c>
      <c r="I68" s="15">
        <v>0</v>
      </c>
      <c r="J68" s="15">
        <f t="shared" si="5"/>
        <v>0</v>
      </c>
      <c r="K68" s="15">
        <f t="shared" si="6"/>
        <v>0</v>
      </c>
      <c r="L68" s="43"/>
    </row>
    <row r="69" spans="2:12" x14ac:dyDescent="0.2">
      <c r="B69" s="42">
        <f>IF(F69&lt;&gt;"",1+MAX($B$22:B68),"")</f>
        <v>31</v>
      </c>
      <c r="C69" s="112" t="s">
        <v>243</v>
      </c>
      <c r="D69" s="8" t="s">
        <v>272</v>
      </c>
      <c r="E69" s="21" t="s">
        <v>45</v>
      </c>
      <c r="F69" s="61">
        <f>18.5*10*2*1/27</f>
        <v>13.703703703703704</v>
      </c>
      <c r="G69" s="15">
        <v>202.38235500000002</v>
      </c>
      <c r="H69" s="15">
        <f t="shared" si="4"/>
        <v>2773.3878277777781</v>
      </c>
      <c r="I69" s="15">
        <v>384.02747019000003</v>
      </c>
      <c r="J69" s="15">
        <f t="shared" si="5"/>
        <v>5262.5986655666675</v>
      </c>
      <c r="K69" s="15">
        <f t="shared" si="6"/>
        <v>8035.986493344446</v>
      </c>
      <c r="L69" s="43"/>
    </row>
    <row r="70" spans="2:12" ht="25.5" x14ac:dyDescent="0.2">
      <c r="B70" s="42">
        <f>IF(F70&lt;&gt;"",1+MAX($B$22:B69),"")</f>
        <v>32</v>
      </c>
      <c r="C70" s="112"/>
      <c r="D70" s="8" t="s">
        <v>273</v>
      </c>
      <c r="E70" s="21" t="s">
        <v>45</v>
      </c>
      <c r="F70" s="61">
        <f>20.5*12*2.5*1/27</f>
        <v>22.777777777777779</v>
      </c>
      <c r="G70" s="15">
        <v>202.38235500000002</v>
      </c>
      <c r="H70" s="15">
        <f t="shared" si="4"/>
        <v>4609.8203083333337</v>
      </c>
      <c r="I70" s="15">
        <v>384.02747019000003</v>
      </c>
      <c r="J70" s="15">
        <f t="shared" si="5"/>
        <v>8747.2923765500018</v>
      </c>
      <c r="K70" s="15">
        <f t="shared" si="6"/>
        <v>13357.112684883336</v>
      </c>
      <c r="L70" s="43"/>
    </row>
    <row r="71" spans="2:12" x14ac:dyDescent="0.2">
      <c r="B71" s="42">
        <f>IF(F71&lt;&gt;"",1+MAX($B$22:B70),"")</f>
        <v>33</v>
      </c>
      <c r="C71" s="112"/>
      <c r="D71" s="8" t="s">
        <v>274</v>
      </c>
      <c r="E71" s="21" t="s">
        <v>45</v>
      </c>
      <c r="F71" s="61">
        <f>2.25*1*873.47/27</f>
        <v>72.789166666666674</v>
      </c>
      <c r="G71" s="15">
        <v>206.22749999999999</v>
      </c>
      <c r="H71" s="15">
        <f t="shared" si="4"/>
        <v>15011.127868750002</v>
      </c>
      <c r="I71" s="15">
        <v>332.51400000000024</v>
      </c>
      <c r="J71" s="15">
        <f t="shared" si="5"/>
        <v>24203.416965000019</v>
      </c>
      <c r="K71" s="15">
        <f t="shared" si="6"/>
        <v>39214.54483375002</v>
      </c>
      <c r="L71" s="43"/>
    </row>
    <row r="72" spans="2:12" x14ac:dyDescent="0.2">
      <c r="B72" s="42">
        <f>IF(F72&lt;&gt;"",1+MAX($B$22:B71),"")</f>
        <v>34</v>
      </c>
      <c r="C72" s="112"/>
      <c r="D72" s="8" t="s">
        <v>275</v>
      </c>
      <c r="E72" s="21" t="s">
        <v>45</v>
      </c>
      <c r="F72" s="61">
        <f>126.5*2.25*1/27</f>
        <v>10.541666666666666</v>
      </c>
      <c r="G72" s="15">
        <v>206.22749999999999</v>
      </c>
      <c r="H72" s="15">
        <f t="shared" si="4"/>
        <v>2173.9815624999997</v>
      </c>
      <c r="I72" s="15">
        <v>332.51400000000024</v>
      </c>
      <c r="J72" s="15">
        <f t="shared" si="5"/>
        <v>3505.2517500000022</v>
      </c>
      <c r="K72" s="15">
        <f t="shared" si="6"/>
        <v>5679.2333125000023</v>
      </c>
      <c r="L72" s="43"/>
    </row>
    <row r="73" spans="2:12" x14ac:dyDescent="0.2">
      <c r="B73" s="42">
        <f>IF(F73&lt;&gt;"",1+MAX($B$22:B72),"")</f>
        <v>35</v>
      </c>
      <c r="C73" s="112"/>
      <c r="D73" s="8" t="s">
        <v>276</v>
      </c>
      <c r="E73" s="21" t="s">
        <v>45</v>
      </c>
      <c r="F73" s="61">
        <f>249.44*2.83*1/27</f>
        <v>26.145007407407409</v>
      </c>
      <c r="G73" s="15">
        <v>206.22749999999999</v>
      </c>
      <c r="H73" s="15">
        <f t="shared" si="4"/>
        <v>5391.8195151111113</v>
      </c>
      <c r="I73" s="15">
        <v>332.51400000000024</v>
      </c>
      <c r="J73" s="15">
        <f t="shared" si="5"/>
        <v>8693.5809930666728</v>
      </c>
      <c r="K73" s="15">
        <f t="shared" si="6"/>
        <v>14085.400508177783</v>
      </c>
      <c r="L73" s="43"/>
    </row>
    <row r="74" spans="2:12" x14ac:dyDescent="0.2">
      <c r="B74" s="42">
        <f>IF(F74&lt;&gt;"",1+MAX($B$22:B73),"")</f>
        <v>36</v>
      </c>
      <c r="C74" s="112"/>
      <c r="D74" s="8" t="s">
        <v>277</v>
      </c>
      <c r="E74" s="21" t="s">
        <v>45</v>
      </c>
      <c r="F74" s="61">
        <f>28.93*4*1/27</f>
        <v>4.2859259259259259</v>
      </c>
      <c r="G74" s="15">
        <v>206.22749999999999</v>
      </c>
      <c r="H74" s="15">
        <f t="shared" si="4"/>
        <v>883.87578888888891</v>
      </c>
      <c r="I74" s="15">
        <v>332.51400000000024</v>
      </c>
      <c r="J74" s="15">
        <f t="shared" si="5"/>
        <v>1425.1303733333343</v>
      </c>
      <c r="K74" s="15">
        <f t="shared" si="6"/>
        <v>2309.0061622222233</v>
      </c>
      <c r="L74" s="43"/>
    </row>
    <row r="75" spans="2:12" x14ac:dyDescent="0.2">
      <c r="B75" s="42">
        <f>IF(F75&lt;&gt;"",1+MAX($B$22:B74),"")</f>
        <v>37</v>
      </c>
      <c r="C75" s="112"/>
      <c r="D75" s="8" t="s">
        <v>278</v>
      </c>
      <c r="E75" s="21" t="s">
        <v>45</v>
      </c>
      <c r="F75" s="61">
        <f>17.21*6.93*1/27</f>
        <v>4.4172333333333329</v>
      </c>
      <c r="G75" s="15">
        <v>206.22749999999999</v>
      </c>
      <c r="H75" s="15">
        <f t="shared" si="4"/>
        <v>910.95498724999993</v>
      </c>
      <c r="I75" s="15">
        <v>332.51400000000024</v>
      </c>
      <c r="J75" s="15">
        <f t="shared" si="5"/>
        <v>1468.7919246000008</v>
      </c>
      <c r="K75" s="15">
        <f t="shared" si="6"/>
        <v>2379.7469118500007</v>
      </c>
      <c r="L75" s="43"/>
    </row>
    <row r="76" spans="2:12" x14ac:dyDescent="0.2">
      <c r="B76" s="42" t="str">
        <f>IF(F76&lt;&gt;"",1+MAX($B$22:B75),"")</f>
        <v/>
      </c>
      <c r="C76" s="112"/>
      <c r="D76" s="8"/>
      <c r="E76" s="21"/>
      <c r="F76" s="61"/>
      <c r="G76" s="15">
        <v>0</v>
      </c>
      <c r="H76" s="15">
        <f t="shared" si="4"/>
        <v>0</v>
      </c>
      <c r="I76" s="15">
        <v>0</v>
      </c>
      <c r="J76" s="15">
        <f t="shared" si="5"/>
        <v>0</v>
      </c>
      <c r="K76" s="15">
        <f t="shared" si="6"/>
        <v>0</v>
      </c>
      <c r="L76" s="43"/>
    </row>
    <row r="77" spans="2:12" x14ac:dyDescent="0.2">
      <c r="B77" s="42" t="str">
        <f>IF(F77&lt;&gt;"",1+MAX($B$22:B76),"")</f>
        <v/>
      </c>
      <c r="C77" s="112"/>
      <c r="D77" s="44" t="s">
        <v>279</v>
      </c>
      <c r="E77" s="21"/>
      <c r="F77" s="61"/>
      <c r="G77" s="15">
        <v>0</v>
      </c>
      <c r="H77" s="15">
        <f t="shared" si="4"/>
        <v>0</v>
      </c>
      <c r="I77" s="15">
        <v>0</v>
      </c>
      <c r="J77" s="15">
        <f t="shared" si="5"/>
        <v>0</v>
      </c>
      <c r="K77" s="15">
        <f t="shared" si="6"/>
        <v>0</v>
      </c>
      <c r="L77" s="43"/>
    </row>
    <row r="78" spans="2:12" x14ac:dyDescent="0.2">
      <c r="B78" s="42">
        <f>IF(F78&lt;&gt;"",1+MAX($B$22:B77),"")</f>
        <v>38</v>
      </c>
      <c r="C78" s="112"/>
      <c r="D78" s="8" t="s">
        <v>280</v>
      </c>
      <c r="E78" s="21" t="s">
        <v>45</v>
      </c>
      <c r="F78" s="61">
        <f>19*3*3*1/27</f>
        <v>6.333333333333333</v>
      </c>
      <c r="G78" s="15">
        <v>202.38235500000002</v>
      </c>
      <c r="H78" s="15">
        <f t="shared" si="4"/>
        <v>1281.754915</v>
      </c>
      <c r="I78" s="15">
        <v>384.02747019000003</v>
      </c>
      <c r="J78" s="15">
        <f t="shared" si="5"/>
        <v>2432.1739778700003</v>
      </c>
      <c r="K78" s="15">
        <f t="shared" si="6"/>
        <v>3713.9288928700003</v>
      </c>
      <c r="L78" s="43"/>
    </row>
    <row r="79" spans="2:12" x14ac:dyDescent="0.2">
      <c r="B79" s="42">
        <f>IF(F79&lt;&gt;"",1+MAX($B$22:B78),"")</f>
        <v>39</v>
      </c>
      <c r="C79" s="112"/>
      <c r="D79" s="8" t="s">
        <v>281</v>
      </c>
      <c r="E79" s="21" t="s">
        <v>45</v>
      </c>
      <c r="F79" s="61">
        <f>21*3*3*1/27</f>
        <v>7</v>
      </c>
      <c r="G79" s="15">
        <v>202.38235500000002</v>
      </c>
      <c r="H79" s="15">
        <f t="shared" si="4"/>
        <v>1416.6764850000002</v>
      </c>
      <c r="I79" s="15">
        <v>384.02747019000003</v>
      </c>
      <c r="J79" s="15">
        <f t="shared" si="5"/>
        <v>2688.1922913300004</v>
      </c>
      <c r="K79" s="15">
        <f t="shared" si="6"/>
        <v>4104.8687763300004</v>
      </c>
      <c r="L79" s="43"/>
    </row>
    <row r="80" spans="2:12" x14ac:dyDescent="0.2">
      <c r="B80" s="42">
        <f>IF(F80&lt;&gt;"",1+MAX($B$22:B79),"")</f>
        <v>40</v>
      </c>
      <c r="C80" s="112"/>
      <c r="D80" s="8" t="s">
        <v>282</v>
      </c>
      <c r="E80" s="21" t="s">
        <v>45</v>
      </c>
      <c r="F80" s="61">
        <f>2*3*3*1.33/27</f>
        <v>0.88666666666666671</v>
      </c>
      <c r="G80" s="15">
        <v>202.38235500000002</v>
      </c>
      <c r="H80" s="15">
        <f t="shared" si="4"/>
        <v>179.44568810000001</v>
      </c>
      <c r="I80" s="15">
        <v>384.02747019000003</v>
      </c>
      <c r="J80" s="15">
        <f t="shared" si="5"/>
        <v>340.50435690180007</v>
      </c>
      <c r="K80" s="15">
        <f t="shared" si="6"/>
        <v>519.95004500180005</v>
      </c>
      <c r="L80" s="43"/>
    </row>
    <row r="81" spans="2:12" x14ac:dyDescent="0.2">
      <c r="B81" s="42">
        <f>IF(F81&lt;&gt;"",1+MAX($B$22:B80),"")</f>
        <v>41</v>
      </c>
      <c r="C81" s="112"/>
      <c r="D81" s="8" t="s">
        <v>283</v>
      </c>
      <c r="E81" s="21" t="s">
        <v>45</v>
      </c>
      <c r="F81" s="61">
        <f>10*4*4*1/27</f>
        <v>5.9259259259259256</v>
      </c>
      <c r="G81" s="15">
        <v>202.38235500000002</v>
      </c>
      <c r="H81" s="15">
        <f t="shared" si="4"/>
        <v>1199.3028444444444</v>
      </c>
      <c r="I81" s="15">
        <v>384.02747019000003</v>
      </c>
      <c r="J81" s="15">
        <f t="shared" si="5"/>
        <v>2275.7183418666668</v>
      </c>
      <c r="K81" s="15">
        <f t="shared" si="6"/>
        <v>3475.0211863111113</v>
      </c>
      <c r="L81" s="43"/>
    </row>
    <row r="82" spans="2:12" x14ac:dyDescent="0.2">
      <c r="B82" s="42">
        <f>IF(F82&lt;&gt;"",1+MAX($B$22:B81),"")</f>
        <v>42</v>
      </c>
      <c r="C82" s="112"/>
      <c r="D82" s="8" t="s">
        <v>284</v>
      </c>
      <c r="E82" s="21" t="s">
        <v>45</v>
      </c>
      <c r="F82" s="61">
        <f>13*4*4*1/27</f>
        <v>7.7037037037037033</v>
      </c>
      <c r="G82" s="15">
        <v>202.38235500000002</v>
      </c>
      <c r="H82" s="15">
        <f t="shared" si="4"/>
        <v>1559.0936977777778</v>
      </c>
      <c r="I82" s="15">
        <v>384.02747019000003</v>
      </c>
      <c r="J82" s="15">
        <f t="shared" si="5"/>
        <v>2958.4338444266668</v>
      </c>
      <c r="K82" s="15">
        <f t="shared" si="6"/>
        <v>4517.5275422044451</v>
      </c>
      <c r="L82" s="43"/>
    </row>
    <row r="83" spans="2:12" x14ac:dyDescent="0.2">
      <c r="B83" s="42">
        <f>IF(F83&lt;&gt;"",1+MAX($B$22:B82),"")</f>
        <v>43</v>
      </c>
      <c r="C83" s="112"/>
      <c r="D83" s="8" t="s">
        <v>285</v>
      </c>
      <c r="E83" s="21" t="s">
        <v>45</v>
      </c>
      <c r="F83" s="61">
        <f>1*4*4*1.33/27</f>
        <v>0.78814814814814815</v>
      </c>
      <c r="G83" s="15">
        <v>202.38235500000002</v>
      </c>
      <c r="H83" s="15">
        <f t="shared" si="4"/>
        <v>159.50727831111112</v>
      </c>
      <c r="I83" s="15">
        <v>384.02747019000003</v>
      </c>
      <c r="J83" s="15">
        <f t="shared" si="5"/>
        <v>302.67053946826667</v>
      </c>
      <c r="K83" s="15">
        <f t="shared" si="6"/>
        <v>462.17781777937779</v>
      </c>
      <c r="L83" s="43"/>
    </row>
    <row r="84" spans="2:12" ht="25.5" x14ac:dyDescent="0.2">
      <c r="B84" s="42">
        <f>IF(F84&lt;&gt;"",1+MAX($B$22:B83),"")</f>
        <v>44</v>
      </c>
      <c r="C84" s="112"/>
      <c r="D84" s="8" t="s">
        <v>286</v>
      </c>
      <c r="E84" s="21" t="s">
        <v>45</v>
      </c>
      <c r="F84" s="61">
        <f>1*4*5.5*1/27</f>
        <v>0.81481481481481477</v>
      </c>
      <c r="G84" s="15">
        <v>202.38235500000002</v>
      </c>
      <c r="H84" s="15">
        <f t="shared" si="4"/>
        <v>164.90414111111113</v>
      </c>
      <c r="I84" s="15">
        <v>384.02747019000003</v>
      </c>
      <c r="J84" s="15">
        <f t="shared" si="5"/>
        <v>312.91127200666665</v>
      </c>
      <c r="K84" s="15">
        <f t="shared" si="6"/>
        <v>477.81541311777778</v>
      </c>
      <c r="L84" s="43"/>
    </row>
    <row r="85" spans="2:12" x14ac:dyDescent="0.2">
      <c r="B85" s="42">
        <f>IF(F85&lt;&gt;"",1+MAX($B$22:B84),"")</f>
        <v>45</v>
      </c>
      <c r="C85" s="112"/>
      <c r="D85" s="8" t="s">
        <v>287</v>
      </c>
      <c r="E85" s="21" t="s">
        <v>45</v>
      </c>
      <c r="F85" s="61">
        <f>12*5*5*1/27</f>
        <v>11.111111111111111</v>
      </c>
      <c r="G85" s="15">
        <v>202.38235500000002</v>
      </c>
      <c r="H85" s="15">
        <f t="shared" ref="H85:H145" si="7">F85*G85</f>
        <v>2248.6928333333335</v>
      </c>
      <c r="I85" s="15">
        <v>384.02747019000003</v>
      </c>
      <c r="J85" s="15">
        <f t="shared" ref="J85:J145" si="8">F85*I85</f>
        <v>4266.9718910000001</v>
      </c>
      <c r="K85" s="15">
        <f t="shared" si="6"/>
        <v>6515.6647243333337</v>
      </c>
      <c r="L85" s="43"/>
    </row>
    <row r="86" spans="2:12" x14ac:dyDescent="0.2">
      <c r="B86" s="42">
        <f>IF(F86&lt;&gt;"",1+MAX($B$22:B85),"")</f>
        <v>46</v>
      </c>
      <c r="C86" s="112"/>
      <c r="D86" s="8" t="s">
        <v>288</v>
      </c>
      <c r="E86" s="21" t="s">
        <v>45</v>
      </c>
      <c r="F86" s="61">
        <f>9*5*5*1.33/27</f>
        <v>11.083333333333334</v>
      </c>
      <c r="G86" s="15">
        <v>202.38235500000002</v>
      </c>
      <c r="H86" s="15">
        <f t="shared" si="7"/>
        <v>2243.0711012500005</v>
      </c>
      <c r="I86" s="15">
        <v>384.02747019000003</v>
      </c>
      <c r="J86" s="15">
        <f t="shared" si="8"/>
        <v>4256.3044612725007</v>
      </c>
      <c r="K86" s="15">
        <f t="shared" si="6"/>
        <v>6499.3755625225012</v>
      </c>
      <c r="L86" s="43"/>
    </row>
    <row r="87" spans="2:12" ht="25.5" x14ac:dyDescent="0.2">
      <c r="B87" s="42">
        <f>IF(F87&lt;&gt;"",1+MAX($B$22:B86),"")</f>
        <v>47</v>
      </c>
      <c r="C87" s="112"/>
      <c r="D87" s="8" t="s">
        <v>289</v>
      </c>
      <c r="E87" s="21" t="s">
        <v>45</v>
      </c>
      <c r="F87" s="61">
        <f>1*4*6.5*1.33/27</f>
        <v>1.2807407407407407</v>
      </c>
      <c r="G87" s="15">
        <v>202.38235500000002</v>
      </c>
      <c r="H87" s="15">
        <f t="shared" si="7"/>
        <v>259.1993272555556</v>
      </c>
      <c r="I87" s="15">
        <v>384.02747019000003</v>
      </c>
      <c r="J87" s="15">
        <f t="shared" si="8"/>
        <v>491.83962663593337</v>
      </c>
      <c r="K87" s="15">
        <f t="shared" si="6"/>
        <v>751.03895389148897</v>
      </c>
      <c r="L87" s="43"/>
    </row>
    <row r="88" spans="2:12" x14ac:dyDescent="0.2">
      <c r="B88" s="42">
        <f>IF(F88&lt;&gt;"",1+MAX($B$22:B87),"")</f>
        <v>48</v>
      </c>
      <c r="C88" s="112"/>
      <c r="D88" s="8" t="s">
        <v>290</v>
      </c>
      <c r="E88" s="21" t="s">
        <v>45</v>
      </c>
      <c r="F88" s="61">
        <f>12*6*6*1/27</f>
        <v>16</v>
      </c>
      <c r="G88" s="15">
        <v>202.38235500000002</v>
      </c>
      <c r="H88" s="15">
        <f t="shared" si="7"/>
        <v>3238.1176800000003</v>
      </c>
      <c r="I88" s="15">
        <v>384.02747019000003</v>
      </c>
      <c r="J88" s="15">
        <f t="shared" si="8"/>
        <v>6144.4395230400005</v>
      </c>
      <c r="K88" s="15">
        <f t="shared" si="6"/>
        <v>9382.5572030399999</v>
      </c>
      <c r="L88" s="43"/>
    </row>
    <row r="89" spans="2:12" x14ac:dyDescent="0.2">
      <c r="B89" s="42">
        <f>IF(F89&lt;&gt;"",1+MAX($B$22:B88),"")</f>
        <v>49</v>
      </c>
      <c r="C89" s="112"/>
      <c r="D89" s="8" t="s">
        <v>291</v>
      </c>
      <c r="E89" s="21" t="s">
        <v>45</v>
      </c>
      <c r="F89" s="61">
        <f>6*6*6*1/27</f>
        <v>8</v>
      </c>
      <c r="G89" s="15">
        <v>202.38235500000002</v>
      </c>
      <c r="H89" s="15">
        <f t="shared" si="7"/>
        <v>1619.0588400000001</v>
      </c>
      <c r="I89" s="15">
        <v>384.02747019000003</v>
      </c>
      <c r="J89" s="15">
        <f t="shared" si="8"/>
        <v>3072.2197615200002</v>
      </c>
      <c r="K89" s="15">
        <f t="shared" si="6"/>
        <v>4691.2786015199999</v>
      </c>
      <c r="L89" s="43"/>
    </row>
    <row r="90" spans="2:12" x14ac:dyDescent="0.2">
      <c r="B90" s="42">
        <f>IF(F90&lt;&gt;"",1+MAX($B$22:B89),"")</f>
        <v>50</v>
      </c>
      <c r="C90" s="112"/>
      <c r="D90" s="8" t="s">
        <v>292</v>
      </c>
      <c r="E90" s="21" t="s">
        <v>45</v>
      </c>
      <c r="F90" s="61">
        <f>9*7*7*1.5/27</f>
        <v>24.5</v>
      </c>
      <c r="G90" s="15">
        <v>202.38235500000002</v>
      </c>
      <c r="H90" s="15">
        <f t="shared" si="7"/>
        <v>4958.3676975000008</v>
      </c>
      <c r="I90" s="15">
        <v>384.02747019000003</v>
      </c>
      <c r="J90" s="15">
        <f t="shared" si="8"/>
        <v>9408.6730196550016</v>
      </c>
      <c r="K90" s="15">
        <f t="shared" si="6"/>
        <v>14367.040717155003</v>
      </c>
      <c r="L90" s="43"/>
    </row>
    <row r="91" spans="2:12" x14ac:dyDescent="0.2">
      <c r="B91" s="42">
        <f>IF(F91&lt;&gt;"",1+MAX($B$22:B90),"")</f>
        <v>51</v>
      </c>
      <c r="C91" s="112"/>
      <c r="D91" s="8" t="s">
        <v>293</v>
      </c>
      <c r="E91" s="21" t="s">
        <v>45</v>
      </c>
      <c r="F91" s="61">
        <f>5*7*7*1.5/27</f>
        <v>13.611111111111111</v>
      </c>
      <c r="G91" s="15">
        <v>202.38235500000002</v>
      </c>
      <c r="H91" s="15">
        <f t="shared" si="7"/>
        <v>2754.6487208333333</v>
      </c>
      <c r="I91" s="15">
        <v>384.02747019000003</v>
      </c>
      <c r="J91" s="15">
        <f t="shared" si="8"/>
        <v>5227.0405664750006</v>
      </c>
      <c r="K91" s="15">
        <f t="shared" si="6"/>
        <v>7981.6892873083343</v>
      </c>
      <c r="L91" s="43"/>
    </row>
    <row r="92" spans="2:12" x14ac:dyDescent="0.2">
      <c r="B92" s="42">
        <f>IF(F92&lt;&gt;"",1+MAX($B$22:B91),"")</f>
        <v>52</v>
      </c>
      <c r="C92" s="112"/>
      <c r="D92" s="8" t="s">
        <v>294</v>
      </c>
      <c r="E92" s="21" t="s">
        <v>45</v>
      </c>
      <c r="F92" s="61">
        <f>6*8*8*1.5/27</f>
        <v>21.333333333333332</v>
      </c>
      <c r="G92" s="15">
        <v>202.38235500000002</v>
      </c>
      <c r="H92" s="15">
        <f t="shared" si="7"/>
        <v>4317.4902400000001</v>
      </c>
      <c r="I92" s="15">
        <v>384.02747019000003</v>
      </c>
      <c r="J92" s="15">
        <f t="shared" si="8"/>
        <v>8192.5860307200001</v>
      </c>
      <c r="K92" s="15">
        <f t="shared" ref="K92:K153" si="9">H92+J92</f>
        <v>12510.076270720001</v>
      </c>
      <c r="L92" s="43"/>
    </row>
    <row r="93" spans="2:12" x14ac:dyDescent="0.2">
      <c r="B93" s="42">
        <f>IF(F93&lt;&gt;"",1+MAX($B$22:B92),"")</f>
        <v>53</v>
      </c>
      <c r="C93" s="112"/>
      <c r="D93" s="8" t="s">
        <v>295</v>
      </c>
      <c r="E93" s="21" t="s">
        <v>45</v>
      </c>
      <c r="F93" s="61">
        <f>2*8*8*2/27</f>
        <v>9.481481481481481</v>
      </c>
      <c r="G93" s="15">
        <v>202.38235500000002</v>
      </c>
      <c r="H93" s="15">
        <f t="shared" si="7"/>
        <v>1918.8845511111113</v>
      </c>
      <c r="I93" s="15">
        <v>384.02747019000003</v>
      </c>
      <c r="J93" s="15">
        <f t="shared" si="8"/>
        <v>3641.1493469866668</v>
      </c>
      <c r="K93" s="15">
        <f t="shared" si="9"/>
        <v>5560.0338980977776</v>
      </c>
      <c r="L93" s="43"/>
    </row>
    <row r="94" spans="2:12" x14ac:dyDescent="0.2">
      <c r="B94" s="42">
        <f>IF(F94&lt;&gt;"",1+MAX($B$22:B93),"")</f>
        <v>54</v>
      </c>
      <c r="C94" s="112"/>
      <c r="D94" s="8" t="s">
        <v>296</v>
      </c>
      <c r="E94" s="21" t="s">
        <v>45</v>
      </c>
      <c r="F94" s="61">
        <f>4*9*9*2/27</f>
        <v>24</v>
      </c>
      <c r="G94" s="15">
        <v>202.38235500000002</v>
      </c>
      <c r="H94" s="15">
        <f t="shared" si="7"/>
        <v>4857.1765200000009</v>
      </c>
      <c r="I94" s="15">
        <v>384.02747019000003</v>
      </c>
      <c r="J94" s="15">
        <f t="shared" si="8"/>
        <v>9216.6592845600007</v>
      </c>
      <c r="K94" s="15">
        <f t="shared" si="9"/>
        <v>14073.835804560002</v>
      </c>
      <c r="L94" s="43"/>
    </row>
    <row r="95" spans="2:12" x14ac:dyDescent="0.2">
      <c r="B95" s="42">
        <f>IF(F95&lt;&gt;"",1+MAX($B$22:B94),"")</f>
        <v>55</v>
      </c>
      <c r="C95" s="112"/>
      <c r="D95" s="8" t="s">
        <v>297</v>
      </c>
      <c r="E95" s="21" t="s">
        <v>45</v>
      </c>
      <c r="F95" s="61">
        <f>6*10*10*2.5/27</f>
        <v>55.555555555555557</v>
      </c>
      <c r="G95" s="15">
        <v>202.38235500000002</v>
      </c>
      <c r="H95" s="15">
        <f t="shared" si="7"/>
        <v>11243.464166666668</v>
      </c>
      <c r="I95" s="15">
        <v>384.02747019000003</v>
      </c>
      <c r="J95" s="15">
        <f t="shared" si="8"/>
        <v>21334.859455000002</v>
      </c>
      <c r="K95" s="15">
        <f t="shared" si="9"/>
        <v>32578.32362166667</v>
      </c>
      <c r="L95" s="43"/>
    </row>
    <row r="96" spans="2:12" x14ac:dyDescent="0.2">
      <c r="B96" s="42">
        <f>IF(F96&lt;&gt;"",1+MAX($B$22:B95),"")</f>
        <v>56</v>
      </c>
      <c r="C96" s="112"/>
      <c r="D96" s="8" t="s">
        <v>298</v>
      </c>
      <c r="E96" s="21" t="s">
        <v>45</v>
      </c>
      <c r="F96" s="61">
        <f>1*12*12*2.83/27</f>
        <v>15.093333333333332</v>
      </c>
      <c r="G96" s="15">
        <v>202.38235500000002</v>
      </c>
      <c r="H96" s="15">
        <f t="shared" si="7"/>
        <v>3054.6243448</v>
      </c>
      <c r="I96" s="15">
        <v>384.02747019000003</v>
      </c>
      <c r="J96" s="15">
        <f t="shared" si="8"/>
        <v>5796.2546167343999</v>
      </c>
      <c r="K96" s="15">
        <f t="shared" si="9"/>
        <v>8850.8789615343994</v>
      </c>
      <c r="L96" s="43"/>
    </row>
    <row r="97" spans="2:12" x14ac:dyDescent="0.2">
      <c r="B97" s="42" t="str">
        <f>IF(F97&lt;&gt;"",1+MAX($B$22:B96),"")</f>
        <v/>
      </c>
      <c r="C97" s="112"/>
      <c r="D97" s="8"/>
      <c r="E97" s="21"/>
      <c r="F97" s="34"/>
      <c r="G97" s="15">
        <v>0</v>
      </c>
      <c r="H97" s="15">
        <f t="shared" si="7"/>
        <v>0</v>
      </c>
      <c r="I97" s="15">
        <v>0</v>
      </c>
      <c r="J97" s="15">
        <f t="shared" si="8"/>
        <v>0</v>
      </c>
      <c r="K97" s="15">
        <f t="shared" si="9"/>
        <v>0</v>
      </c>
      <c r="L97" s="43"/>
    </row>
    <row r="98" spans="2:12" x14ac:dyDescent="0.2">
      <c r="B98" s="42" t="str">
        <f>IF(F98&lt;&gt;"",1+MAX($B$22:B97),"")</f>
        <v/>
      </c>
      <c r="C98" s="112"/>
      <c r="D98" s="44" t="s">
        <v>225</v>
      </c>
      <c r="E98" s="21"/>
      <c r="F98" s="61"/>
      <c r="G98" s="15"/>
      <c r="H98" s="15"/>
      <c r="I98" s="15"/>
      <c r="J98" s="15"/>
      <c r="K98" s="15"/>
      <c r="L98" s="43"/>
    </row>
    <row r="99" spans="2:12" ht="25.5" x14ac:dyDescent="0.2">
      <c r="B99" s="42">
        <f>IF(F99&lt;&gt;"",1+MAX($B$22:B79),"")</f>
        <v>40</v>
      </c>
      <c r="C99" s="112"/>
      <c r="D99" s="8" t="s">
        <v>417</v>
      </c>
      <c r="E99" s="21" t="s">
        <v>45</v>
      </c>
      <c r="F99" s="61">
        <f>3*1.42*1.25*0.42/27</f>
        <v>8.2833333333333314E-2</v>
      </c>
      <c r="G99" s="15">
        <v>779.14080000000013</v>
      </c>
      <c r="H99" s="15">
        <f t="shared" ref="H99:H126" si="10">F99*G99</f>
        <v>64.5388296</v>
      </c>
      <c r="I99" s="15">
        <v>402.704873298</v>
      </c>
      <c r="J99" s="15">
        <f t="shared" ref="J99:J126" si="11">F99*I99</f>
        <v>33.357387004850992</v>
      </c>
      <c r="K99" s="15">
        <f t="shared" ref="K99:K126" si="12">H99+J99</f>
        <v>97.896216604850991</v>
      </c>
      <c r="L99" s="43"/>
    </row>
    <row r="100" spans="2:12" ht="25.5" x14ac:dyDescent="0.2">
      <c r="B100" s="42">
        <f>IF(F100&lt;&gt;"",1+MAX($B$22:B80),"")</f>
        <v>41</v>
      </c>
      <c r="C100" s="112"/>
      <c r="D100" s="8" t="s">
        <v>418</v>
      </c>
      <c r="E100" s="21" t="s">
        <v>45</v>
      </c>
      <c r="F100" s="61">
        <f>3*1.42*1.25*0.67/27</f>
        <v>0.13213888888888889</v>
      </c>
      <c r="G100" s="15">
        <v>779.14080000000013</v>
      </c>
      <c r="H100" s="15">
        <f t="shared" si="10"/>
        <v>102.95479960000002</v>
      </c>
      <c r="I100" s="15">
        <v>402.704873298</v>
      </c>
      <c r="J100" s="15">
        <f t="shared" si="11"/>
        <v>53.212974507738501</v>
      </c>
      <c r="K100" s="15">
        <f t="shared" si="12"/>
        <v>156.16777410773852</v>
      </c>
      <c r="L100" s="43"/>
    </row>
    <row r="101" spans="2:12" ht="25.5" x14ac:dyDescent="0.2">
      <c r="B101" s="42">
        <f>IF(F101&lt;&gt;"",1+MAX($B$22:B81),"")</f>
        <v>42</v>
      </c>
      <c r="C101" s="112"/>
      <c r="D101" s="8" t="s">
        <v>419</v>
      </c>
      <c r="E101" s="21" t="s">
        <v>45</v>
      </c>
      <c r="F101" s="61">
        <f>2*1.42*1.25*2.33/27</f>
        <v>0.30635185185185182</v>
      </c>
      <c r="G101" s="15">
        <v>779.14080000000013</v>
      </c>
      <c r="H101" s="15">
        <f t="shared" si="10"/>
        <v>238.69122693333335</v>
      </c>
      <c r="I101" s="15">
        <v>402.704873298</v>
      </c>
      <c r="J101" s="15">
        <f t="shared" si="11"/>
        <v>123.36938368460766</v>
      </c>
      <c r="K101" s="15">
        <f t="shared" si="12"/>
        <v>362.06061061794099</v>
      </c>
      <c r="L101" s="43"/>
    </row>
    <row r="102" spans="2:12" ht="25.5" x14ac:dyDescent="0.2">
      <c r="B102" s="42">
        <f>IF(F102&lt;&gt;"",1+MAX($B$22:B82),"")</f>
        <v>43</v>
      </c>
      <c r="C102" s="112"/>
      <c r="D102" s="8" t="s">
        <v>420</v>
      </c>
      <c r="E102" s="21" t="s">
        <v>45</v>
      </c>
      <c r="F102" s="61">
        <f>56*1.42*1.25*2.83/27</f>
        <v>10.41859259259259</v>
      </c>
      <c r="G102" s="15">
        <v>779.14080000000013</v>
      </c>
      <c r="H102" s="15">
        <f t="shared" si="10"/>
        <v>8117.5505674666665</v>
      </c>
      <c r="I102" s="15">
        <v>402.704873298</v>
      </c>
      <c r="J102" s="15">
        <f t="shared" si="11"/>
        <v>4195.6180099434805</v>
      </c>
      <c r="K102" s="15">
        <f t="shared" si="12"/>
        <v>12313.168577410146</v>
      </c>
      <c r="L102" s="43"/>
    </row>
    <row r="103" spans="2:12" ht="25.5" x14ac:dyDescent="0.2">
      <c r="B103" s="42">
        <f>IF(F103&lt;&gt;"",1+MAX($B$22:B81),"")</f>
        <v>42</v>
      </c>
      <c r="C103" s="112"/>
      <c r="D103" s="8" t="s">
        <v>421</v>
      </c>
      <c r="E103" s="21" t="s">
        <v>45</v>
      </c>
      <c r="F103" s="61">
        <f>1.58*1.33*3*1/27</f>
        <v>0.23348888888888894</v>
      </c>
      <c r="G103" s="15">
        <v>779.14080000000013</v>
      </c>
      <c r="H103" s="15">
        <f t="shared" si="10"/>
        <v>181.92071968000008</v>
      </c>
      <c r="I103" s="15">
        <v>402.704873298</v>
      </c>
      <c r="J103" s="15">
        <f t="shared" si="11"/>
        <v>94.02711341649082</v>
      </c>
      <c r="K103" s="15">
        <f t="shared" si="12"/>
        <v>275.94783309649091</v>
      </c>
      <c r="L103" s="43"/>
    </row>
    <row r="104" spans="2:12" ht="25.5" x14ac:dyDescent="0.2">
      <c r="B104" s="42">
        <f>IF(F104&lt;&gt;"",1+MAX($B$22:B82),"")</f>
        <v>43</v>
      </c>
      <c r="C104" s="112"/>
      <c r="D104" s="8" t="s">
        <v>422</v>
      </c>
      <c r="E104" s="21" t="s">
        <v>45</v>
      </c>
      <c r="F104" s="61">
        <f>1.58*1.25*3*1/27</f>
        <v>0.21944444444444447</v>
      </c>
      <c r="G104" s="15">
        <v>779.14080000000013</v>
      </c>
      <c r="H104" s="15">
        <f t="shared" si="10"/>
        <v>170.97812000000005</v>
      </c>
      <c r="I104" s="15">
        <v>402.704873298</v>
      </c>
      <c r="J104" s="15">
        <f t="shared" si="11"/>
        <v>88.371347195950008</v>
      </c>
      <c r="K104" s="15">
        <f t="shared" si="12"/>
        <v>259.34946719595007</v>
      </c>
      <c r="L104" s="43"/>
    </row>
    <row r="105" spans="2:12" ht="25.5" x14ac:dyDescent="0.2">
      <c r="B105" s="42">
        <f>IF(F105&lt;&gt;"",1+MAX($B$22:B84),"")</f>
        <v>45</v>
      </c>
      <c r="C105" s="112"/>
      <c r="D105" s="8" t="s">
        <v>423</v>
      </c>
      <c r="E105" s="21" t="s">
        <v>45</v>
      </c>
      <c r="F105" s="61">
        <f>3*1.58*1.25*3.67/27</f>
        <v>0.80536111111111119</v>
      </c>
      <c r="G105" s="15">
        <v>779.14080000000013</v>
      </c>
      <c r="H105" s="15">
        <f t="shared" si="10"/>
        <v>627.48970040000017</v>
      </c>
      <c r="I105" s="15">
        <v>402.704873298</v>
      </c>
      <c r="J105" s="15">
        <f t="shared" si="11"/>
        <v>324.32284420913652</v>
      </c>
      <c r="K105" s="15">
        <f t="shared" si="12"/>
        <v>951.81254460913669</v>
      </c>
      <c r="L105" s="43"/>
    </row>
    <row r="106" spans="2:12" ht="25.5" x14ac:dyDescent="0.2">
      <c r="B106" s="42">
        <f>IF(F106&lt;&gt;"",1+MAX($B$22:B85),"")</f>
        <v>46</v>
      </c>
      <c r="C106" s="112"/>
      <c r="D106" s="8" t="s">
        <v>424</v>
      </c>
      <c r="E106" s="21" t="s">
        <v>45</v>
      </c>
      <c r="F106" s="61">
        <f>1.58*1.25*3.67*1/27</f>
        <v>0.26845370370370375</v>
      </c>
      <c r="G106" s="15">
        <v>779.14080000000013</v>
      </c>
      <c r="H106" s="15">
        <f t="shared" si="10"/>
        <v>209.16323346666672</v>
      </c>
      <c r="I106" s="15">
        <v>402.704873298</v>
      </c>
      <c r="J106" s="15">
        <f t="shared" si="11"/>
        <v>108.10761473637885</v>
      </c>
      <c r="K106" s="15">
        <f t="shared" si="12"/>
        <v>317.2708482030456</v>
      </c>
      <c r="L106" s="43"/>
    </row>
    <row r="107" spans="2:12" ht="25.5" x14ac:dyDescent="0.2">
      <c r="B107" s="42">
        <f>IF(F107&lt;&gt;"",1+MAX($B$22:B86),"")</f>
        <v>47</v>
      </c>
      <c r="C107" s="112"/>
      <c r="D107" s="8" t="s">
        <v>425</v>
      </c>
      <c r="E107" s="21" t="s">
        <v>45</v>
      </c>
      <c r="F107" s="61">
        <f>3*1.58*1.25*3.83/27</f>
        <v>0.8404722222222224</v>
      </c>
      <c r="G107" s="15">
        <v>779.14080000000013</v>
      </c>
      <c r="H107" s="15">
        <f t="shared" si="10"/>
        <v>654.8461996000002</v>
      </c>
      <c r="I107" s="15">
        <v>402.704873298</v>
      </c>
      <c r="J107" s="15">
        <f t="shared" si="11"/>
        <v>338.46225976048856</v>
      </c>
      <c r="K107" s="15">
        <f t="shared" si="12"/>
        <v>993.30845936048877</v>
      </c>
      <c r="L107" s="43"/>
    </row>
    <row r="108" spans="2:12" ht="25.5" x14ac:dyDescent="0.2">
      <c r="B108" s="42">
        <f>IF(F108&lt;&gt;"",1+MAX($B$22:B87),"")</f>
        <v>48</v>
      </c>
      <c r="C108" s="112"/>
      <c r="D108" s="8" t="s">
        <v>426</v>
      </c>
      <c r="E108" s="21" t="s">
        <v>45</v>
      </c>
      <c r="F108" s="61">
        <f>1*1.58*1.25*4.25/27</f>
        <v>0.31087962962962967</v>
      </c>
      <c r="G108" s="15">
        <v>779.14080000000013</v>
      </c>
      <c r="H108" s="15">
        <f t="shared" si="10"/>
        <v>242.2190033333334</v>
      </c>
      <c r="I108" s="15">
        <v>402.704873298</v>
      </c>
      <c r="J108" s="15">
        <f t="shared" si="11"/>
        <v>125.19274186092919</v>
      </c>
      <c r="K108" s="15">
        <f t="shared" si="12"/>
        <v>367.41174519426261</v>
      </c>
      <c r="L108" s="43"/>
    </row>
    <row r="109" spans="2:12" ht="25.5" x14ac:dyDescent="0.2">
      <c r="B109" s="42">
        <f>IF(F109&lt;&gt;"",1+MAX($B$22:B88),"")</f>
        <v>49</v>
      </c>
      <c r="C109" s="112"/>
      <c r="D109" s="8" t="s">
        <v>427</v>
      </c>
      <c r="E109" s="21" t="s">
        <v>45</v>
      </c>
      <c r="F109" s="61">
        <f>1*1.58*1.25*4.58/27</f>
        <v>0.33501851851851855</v>
      </c>
      <c r="G109" s="15">
        <v>779.14080000000013</v>
      </c>
      <c r="H109" s="15">
        <f t="shared" si="10"/>
        <v>261.02659653333342</v>
      </c>
      <c r="I109" s="15">
        <v>402.704873298</v>
      </c>
      <c r="J109" s="15">
        <f t="shared" si="11"/>
        <v>134.91359005248367</v>
      </c>
      <c r="K109" s="15">
        <f t="shared" si="12"/>
        <v>395.94018658581706</v>
      </c>
      <c r="L109" s="43"/>
    </row>
    <row r="110" spans="2:12" ht="25.5" x14ac:dyDescent="0.2">
      <c r="B110" s="42">
        <f>IF(F110&lt;&gt;"",1+MAX($B$22:B89),"")</f>
        <v>50</v>
      </c>
      <c r="C110" s="112"/>
      <c r="D110" s="8" t="s">
        <v>428</v>
      </c>
      <c r="E110" s="21" t="s">
        <v>45</v>
      </c>
      <c r="F110" s="61">
        <f>1*1.58*1.25*4.67/27</f>
        <v>0.34160185185185188</v>
      </c>
      <c r="G110" s="15">
        <v>779.14080000000013</v>
      </c>
      <c r="H110" s="15">
        <f t="shared" si="10"/>
        <v>266.15594013333339</v>
      </c>
      <c r="I110" s="15">
        <v>402.704873298</v>
      </c>
      <c r="J110" s="15">
        <f t="shared" si="11"/>
        <v>137.56473046836217</v>
      </c>
      <c r="K110" s="15">
        <f t="shared" si="12"/>
        <v>403.72067060169559</v>
      </c>
      <c r="L110" s="43"/>
    </row>
    <row r="111" spans="2:12" ht="25.5" x14ac:dyDescent="0.2">
      <c r="B111" s="42">
        <f>IF(F111&lt;&gt;"",1+MAX($B$22:B89),"")</f>
        <v>50</v>
      </c>
      <c r="C111" s="112"/>
      <c r="D111" s="8" t="s">
        <v>429</v>
      </c>
      <c r="E111" s="21" t="s">
        <v>45</v>
      </c>
      <c r="F111" s="61">
        <f>1*1.67*1.33*2.58/27</f>
        <v>0.21223844444444442</v>
      </c>
      <c r="G111" s="15">
        <v>779.14080000000013</v>
      </c>
      <c r="H111" s="15">
        <f t="shared" si="10"/>
        <v>165.3636313952</v>
      </c>
      <c r="I111" s="15">
        <v>402.704873298</v>
      </c>
      <c r="J111" s="15">
        <f t="shared" si="11"/>
        <v>85.469455878964609</v>
      </c>
      <c r="K111" s="15">
        <f t="shared" si="12"/>
        <v>250.8330872741646</v>
      </c>
      <c r="L111" s="43"/>
    </row>
    <row r="112" spans="2:12" ht="25.5" x14ac:dyDescent="0.2">
      <c r="B112" s="42">
        <f>IF(F112&lt;&gt;"",1+MAX($B$22:B89),"")</f>
        <v>50</v>
      </c>
      <c r="C112" s="112"/>
      <c r="D112" s="8" t="s">
        <v>430</v>
      </c>
      <c r="E112" s="21" t="s">
        <v>45</v>
      </c>
      <c r="F112" s="61">
        <f>2*1.67*1.33*2.83/27</f>
        <v>0.46560837037037034</v>
      </c>
      <c r="G112" s="15">
        <v>779.14080000000013</v>
      </c>
      <c r="H112" s="15">
        <f t="shared" si="10"/>
        <v>362.77447817706673</v>
      </c>
      <c r="I112" s="15">
        <v>402.704873298</v>
      </c>
      <c r="J112" s="15">
        <f t="shared" si="11"/>
        <v>187.50275979648825</v>
      </c>
      <c r="K112" s="15">
        <f t="shared" si="12"/>
        <v>550.27723797355497</v>
      </c>
      <c r="L112" s="43"/>
    </row>
    <row r="113" spans="2:12" ht="25.5" x14ac:dyDescent="0.2">
      <c r="B113" s="42">
        <f>IF(F113&lt;&gt;"",1+MAX($B$22:B89),"")</f>
        <v>50</v>
      </c>
      <c r="C113" s="112"/>
      <c r="D113" s="8" t="s">
        <v>431</v>
      </c>
      <c r="E113" s="21" t="s">
        <v>45</v>
      </c>
      <c r="F113" s="61">
        <f>2*1.67*1.33*3.33/27</f>
        <v>0.54787133333333327</v>
      </c>
      <c r="G113" s="15">
        <v>779.14080000000013</v>
      </c>
      <c r="H113" s="15">
        <f t="shared" si="10"/>
        <v>426.8689089504</v>
      </c>
      <c r="I113" s="15">
        <v>402.704873298</v>
      </c>
      <c r="J113" s="15">
        <f t="shared" si="11"/>
        <v>220.63045587360628</v>
      </c>
      <c r="K113" s="15">
        <f t="shared" si="12"/>
        <v>647.49936482400631</v>
      </c>
      <c r="L113" s="43"/>
    </row>
    <row r="114" spans="2:12" ht="25.5" x14ac:dyDescent="0.2">
      <c r="B114" s="42">
        <f>IF(F114&lt;&gt;"",1+MAX($B$22:B90),"")</f>
        <v>51</v>
      </c>
      <c r="C114" s="112"/>
      <c r="D114" s="8" t="s">
        <v>432</v>
      </c>
      <c r="E114" s="21" t="s">
        <v>45</v>
      </c>
      <c r="F114" s="61">
        <f>2*1.67*1.33*3.83/27</f>
        <v>0.63013429629629625</v>
      </c>
      <c r="G114" s="15">
        <v>779.14080000000013</v>
      </c>
      <c r="H114" s="15">
        <f t="shared" si="10"/>
        <v>490.96333972373338</v>
      </c>
      <c r="I114" s="15">
        <v>402.704873298</v>
      </c>
      <c r="J114" s="15">
        <f t="shared" si="11"/>
        <v>253.75815195072437</v>
      </c>
      <c r="K114" s="15">
        <f t="shared" si="12"/>
        <v>744.72149167445775</v>
      </c>
      <c r="L114" s="43"/>
    </row>
    <row r="115" spans="2:12" ht="25.5" x14ac:dyDescent="0.2">
      <c r="B115" s="42">
        <f>IF(F115&lt;&gt;"",1+MAX($B$22:B92),"")</f>
        <v>53</v>
      </c>
      <c r="C115" s="112"/>
      <c r="D115" s="8" t="s">
        <v>433</v>
      </c>
      <c r="E115" s="21" t="s">
        <v>45</v>
      </c>
      <c r="F115" s="61">
        <f>3*1.67*1.33*3.33/27</f>
        <v>0.82180700000000018</v>
      </c>
      <c r="G115" s="15">
        <v>779.14080000000013</v>
      </c>
      <c r="H115" s="15">
        <f t="shared" si="10"/>
        <v>640.3033634256002</v>
      </c>
      <c r="I115" s="15">
        <v>402.704873298</v>
      </c>
      <c r="J115" s="15">
        <f t="shared" si="11"/>
        <v>330.94568381040955</v>
      </c>
      <c r="K115" s="15">
        <f t="shared" si="12"/>
        <v>971.2490472360098</v>
      </c>
      <c r="L115" s="43"/>
    </row>
    <row r="116" spans="2:12" ht="25.5" x14ac:dyDescent="0.2">
      <c r="B116" s="42">
        <f>IF(F116&lt;&gt;"",1+MAX($B$22:B93),"")</f>
        <v>54</v>
      </c>
      <c r="C116" s="112"/>
      <c r="D116" s="8" t="s">
        <v>434</v>
      </c>
      <c r="E116" s="21" t="s">
        <v>45</v>
      </c>
      <c r="F116" s="61">
        <f>1*1.67*1.33*5.67/27</f>
        <v>0.46643099999999998</v>
      </c>
      <c r="G116" s="15">
        <v>779.14080000000013</v>
      </c>
      <c r="H116" s="15">
        <f t="shared" si="10"/>
        <v>363.41542248480005</v>
      </c>
      <c r="I116" s="15">
        <v>402.704873298</v>
      </c>
      <c r="J116" s="15">
        <f t="shared" si="11"/>
        <v>187.83403675725944</v>
      </c>
      <c r="K116" s="15">
        <f t="shared" si="12"/>
        <v>551.24945924205952</v>
      </c>
      <c r="L116" s="43"/>
    </row>
    <row r="117" spans="2:12" ht="25.5" x14ac:dyDescent="0.2">
      <c r="B117" s="42">
        <f>IF(F117&lt;&gt;"",1+MAX($B$22:B94),"")</f>
        <v>55</v>
      </c>
      <c r="C117" s="112"/>
      <c r="D117" s="8" t="s">
        <v>435</v>
      </c>
      <c r="E117" s="21" t="s">
        <v>45</v>
      </c>
      <c r="F117" s="61">
        <f>2*1.58*1.58*0.58/27</f>
        <v>0.10725274074074075</v>
      </c>
      <c r="G117" s="15">
        <v>779.14080000000013</v>
      </c>
      <c r="H117" s="15">
        <f t="shared" si="10"/>
        <v>83.564986222933356</v>
      </c>
      <c r="I117" s="15">
        <v>402.704873298</v>
      </c>
      <c r="J117" s="15">
        <f t="shared" si="11"/>
        <v>43.191201370863247</v>
      </c>
      <c r="K117" s="15">
        <f t="shared" si="12"/>
        <v>126.7561875937966</v>
      </c>
      <c r="L117" s="43"/>
    </row>
    <row r="118" spans="2:12" ht="25.5" x14ac:dyDescent="0.2">
      <c r="B118" s="42">
        <f>IF(F118&lt;&gt;"",1+MAX($B$22:B64),"")</f>
        <v>31</v>
      </c>
      <c r="C118" s="112"/>
      <c r="D118" s="8" t="s">
        <v>436</v>
      </c>
      <c r="E118" s="21" t="s">
        <v>45</v>
      </c>
      <c r="F118" s="61">
        <f>5*1.58*1.58*0.42/27</f>
        <v>0.19416444444444445</v>
      </c>
      <c r="G118" s="15">
        <v>779.14080000000013</v>
      </c>
      <c r="H118" s="15">
        <f t="shared" si="10"/>
        <v>151.28144057600002</v>
      </c>
      <c r="I118" s="15">
        <v>402.704873298</v>
      </c>
      <c r="J118" s="15">
        <f t="shared" si="11"/>
        <v>78.190967998976561</v>
      </c>
      <c r="K118" s="15">
        <f t="shared" si="12"/>
        <v>229.47240857497658</v>
      </c>
      <c r="L118" s="43"/>
    </row>
    <row r="119" spans="2:12" ht="25.5" x14ac:dyDescent="0.2">
      <c r="B119" s="42">
        <f>IF(F119&lt;&gt;"",1+MAX($B$22:B63),"")</f>
        <v>30</v>
      </c>
      <c r="C119" s="112"/>
      <c r="D119" s="8" t="s">
        <v>437</v>
      </c>
      <c r="E119" s="21" t="s">
        <v>45</v>
      </c>
      <c r="F119" s="61">
        <f>2*1.42*1.42*1.67/27</f>
        <v>0.24943614814814813</v>
      </c>
      <c r="G119" s="15">
        <v>779.14080000000013</v>
      </c>
      <c r="H119" s="15">
        <f t="shared" si="10"/>
        <v>194.34588001706669</v>
      </c>
      <c r="I119" s="15">
        <v>402.704873298</v>
      </c>
      <c r="J119" s="15">
        <f t="shared" si="11"/>
        <v>100.44915243594114</v>
      </c>
      <c r="K119" s="15">
        <f t="shared" si="12"/>
        <v>294.79503245300782</v>
      </c>
      <c r="L119" s="43"/>
    </row>
    <row r="120" spans="2:12" ht="25.5" x14ac:dyDescent="0.2">
      <c r="B120" s="42">
        <f>IF(F120&lt;&gt;"",1+MAX($B$22:B63),"")</f>
        <v>30</v>
      </c>
      <c r="C120" s="112"/>
      <c r="D120" s="8" t="s">
        <v>438</v>
      </c>
      <c r="E120" s="21" t="s">
        <v>45</v>
      </c>
      <c r="F120" s="61">
        <v>2</v>
      </c>
      <c r="G120" s="15">
        <v>779.14080000000013</v>
      </c>
      <c r="H120" s="15">
        <f t="shared" si="10"/>
        <v>1558.2816000000003</v>
      </c>
      <c r="I120" s="15">
        <v>402.704873298</v>
      </c>
      <c r="J120" s="15">
        <f t="shared" si="11"/>
        <v>805.40974659599999</v>
      </c>
      <c r="K120" s="15">
        <f t="shared" si="12"/>
        <v>2363.6913465960001</v>
      </c>
      <c r="L120" s="43"/>
    </row>
    <row r="121" spans="2:12" ht="25.5" x14ac:dyDescent="0.2">
      <c r="B121" s="42">
        <f>IF(F121&lt;&gt;"",1+MAX($B$22:B66),"")</f>
        <v>31</v>
      </c>
      <c r="C121" s="112"/>
      <c r="D121" s="8" t="s">
        <v>439</v>
      </c>
      <c r="E121" s="21" t="s">
        <v>45</v>
      </c>
      <c r="F121" s="61">
        <f>3*1.42*1.42*2.5/27</f>
        <v>0.560111111111111</v>
      </c>
      <c r="G121" s="15">
        <v>779.14080000000013</v>
      </c>
      <c r="H121" s="15">
        <f t="shared" si="10"/>
        <v>436.40541919999998</v>
      </c>
      <c r="I121" s="15">
        <v>402.704873298</v>
      </c>
      <c r="J121" s="15">
        <f t="shared" si="11"/>
        <v>225.55947403280194</v>
      </c>
      <c r="K121" s="15">
        <f t="shared" si="12"/>
        <v>661.96489323280196</v>
      </c>
      <c r="L121" s="43"/>
    </row>
    <row r="122" spans="2:12" ht="25.5" x14ac:dyDescent="0.2">
      <c r="B122" s="42">
        <f>IF(F122&lt;&gt;"",1+MAX($B$22:B67),"")</f>
        <v>31</v>
      </c>
      <c r="C122" s="112"/>
      <c r="D122" s="8" t="s">
        <v>440</v>
      </c>
      <c r="E122" s="21" t="s">
        <v>45</v>
      </c>
      <c r="F122" s="61">
        <f>4*1.42*1.42*2.83/27</f>
        <v>0.84539437037037046</v>
      </c>
      <c r="G122" s="15">
        <v>779.14080000000013</v>
      </c>
      <c r="H122" s="15">
        <f t="shared" si="10"/>
        <v>658.68124604586683</v>
      </c>
      <c r="I122" s="15">
        <v>402.704873298</v>
      </c>
      <c r="J122" s="15">
        <f t="shared" si="11"/>
        <v>340.44443280684254</v>
      </c>
      <c r="K122" s="15">
        <f t="shared" si="12"/>
        <v>999.12567885270937</v>
      </c>
      <c r="L122" s="43"/>
    </row>
    <row r="123" spans="2:12" ht="25.5" x14ac:dyDescent="0.2">
      <c r="B123" s="42">
        <f>IF(F123&lt;&gt;"",1+MAX($B$22:B68),"")</f>
        <v>31</v>
      </c>
      <c r="C123" s="112"/>
      <c r="D123" s="8" t="s">
        <v>441</v>
      </c>
      <c r="E123" s="21" t="s">
        <v>45</v>
      </c>
      <c r="F123" s="61">
        <f>1*1.42*1.42*3.33/27</f>
        <v>0.24868933333333332</v>
      </c>
      <c r="G123" s="15">
        <v>779.14080000000013</v>
      </c>
      <c r="H123" s="15">
        <f t="shared" si="10"/>
        <v>193.76400612480001</v>
      </c>
      <c r="I123" s="15">
        <v>402.704873298</v>
      </c>
      <c r="J123" s="15">
        <f t="shared" si="11"/>
        <v>100.14840647056408</v>
      </c>
      <c r="K123" s="15">
        <f t="shared" si="12"/>
        <v>293.91241259536412</v>
      </c>
      <c r="L123" s="43"/>
    </row>
    <row r="124" spans="2:12" ht="25.5" x14ac:dyDescent="0.2">
      <c r="B124" s="42">
        <f>IF(F124&lt;&gt;"",1+MAX($B$22:B69),"")</f>
        <v>32</v>
      </c>
      <c r="C124" s="112"/>
      <c r="D124" s="8" t="s">
        <v>442</v>
      </c>
      <c r="E124" s="21" t="s">
        <v>45</v>
      </c>
      <c r="F124" s="61">
        <f>2*1.58*1.58*4.33/27</f>
        <v>0.80069718518518529</v>
      </c>
      <c r="G124" s="15">
        <v>779.14080000000013</v>
      </c>
      <c r="H124" s="15">
        <f t="shared" si="10"/>
        <v>623.8558454229335</v>
      </c>
      <c r="I124" s="15">
        <v>402.704873298</v>
      </c>
      <c r="J124" s="15">
        <f t="shared" si="11"/>
        <v>322.44465851006527</v>
      </c>
      <c r="K124" s="15">
        <f t="shared" si="12"/>
        <v>946.30050393299871</v>
      </c>
      <c r="L124" s="43"/>
    </row>
    <row r="125" spans="2:12" ht="25.5" x14ac:dyDescent="0.2">
      <c r="B125" s="42">
        <f>IF(F125&lt;&gt;"",1+MAX($B$22:B70),"")</f>
        <v>33</v>
      </c>
      <c r="C125" s="112"/>
      <c r="D125" s="8" t="s">
        <v>443</v>
      </c>
      <c r="E125" s="21" t="s">
        <v>45</v>
      </c>
      <c r="F125" s="61">
        <f>1*3.16*1.33*2.5/27</f>
        <v>0.38914814814814819</v>
      </c>
      <c r="G125" s="15">
        <v>779.14080000000013</v>
      </c>
      <c r="H125" s="15">
        <f t="shared" si="10"/>
        <v>303.20119946666676</v>
      </c>
      <c r="I125" s="15">
        <v>402.704873298</v>
      </c>
      <c r="J125" s="15">
        <f t="shared" si="11"/>
        <v>156.71185569415135</v>
      </c>
      <c r="K125" s="15">
        <f t="shared" si="12"/>
        <v>459.91305516081809</v>
      </c>
      <c r="L125" s="43"/>
    </row>
    <row r="126" spans="2:12" ht="25.5" x14ac:dyDescent="0.2">
      <c r="B126" s="42">
        <f>IF(F126&lt;&gt;"",1+MAX($B$22:B71),"")</f>
        <v>34</v>
      </c>
      <c r="C126" s="112"/>
      <c r="D126" s="8" t="s">
        <v>444</v>
      </c>
      <c r="E126" s="21" t="s">
        <v>45</v>
      </c>
      <c r="F126" s="61">
        <f>5*1.33*1.33*3.67/27</f>
        <v>1.202196851851852</v>
      </c>
      <c r="G126" s="15">
        <v>779.14080000000013</v>
      </c>
      <c r="H126" s="15">
        <f t="shared" si="10"/>
        <v>936.68061690933359</v>
      </c>
      <c r="I126" s="15">
        <v>402.704873298</v>
      </c>
      <c r="J126" s="15">
        <f t="shared" si="11"/>
        <v>484.1305309042545</v>
      </c>
      <c r="K126" s="15">
        <f t="shared" si="12"/>
        <v>1420.8111478135881</v>
      </c>
      <c r="L126" s="43"/>
    </row>
    <row r="127" spans="2:12" x14ac:dyDescent="0.2">
      <c r="B127" s="42" t="str">
        <f>IF(F127&lt;&gt;"",1+MAX($B$22:B96),"")</f>
        <v/>
      </c>
      <c r="C127" s="112"/>
      <c r="D127" s="8"/>
      <c r="E127" s="21"/>
      <c r="F127" s="61"/>
      <c r="G127" s="15">
        <v>0</v>
      </c>
      <c r="H127" s="15">
        <f t="shared" si="7"/>
        <v>0</v>
      </c>
      <c r="I127" s="15">
        <v>0</v>
      </c>
      <c r="J127" s="15">
        <f t="shared" si="8"/>
        <v>0</v>
      </c>
      <c r="K127" s="15">
        <f t="shared" si="9"/>
        <v>0</v>
      </c>
      <c r="L127" s="43"/>
    </row>
    <row r="128" spans="2:12" x14ac:dyDescent="0.2">
      <c r="B128" s="42" t="str">
        <f>IF(F128&lt;&gt;"",1+MAX($B$22:B127),"")</f>
        <v/>
      </c>
      <c r="C128" s="112"/>
      <c r="D128" s="44" t="s">
        <v>269</v>
      </c>
      <c r="E128" s="21"/>
      <c r="F128" s="61"/>
      <c r="G128" s="15">
        <v>0</v>
      </c>
      <c r="H128" s="15">
        <f t="shared" si="7"/>
        <v>0</v>
      </c>
      <c r="I128" s="15">
        <v>0</v>
      </c>
      <c r="J128" s="15">
        <f t="shared" si="8"/>
        <v>0</v>
      </c>
      <c r="K128" s="15">
        <f t="shared" si="9"/>
        <v>0</v>
      </c>
      <c r="L128" s="43"/>
    </row>
    <row r="129" spans="2:12" x14ac:dyDescent="0.2">
      <c r="B129" s="42">
        <f>IF(F129&lt;&gt;"",1+MAX($B$22:B128),"")</f>
        <v>57</v>
      </c>
      <c r="C129" s="112"/>
      <c r="D129" s="8" t="s">
        <v>116</v>
      </c>
      <c r="E129" s="21" t="s">
        <v>44</v>
      </c>
      <c r="F129" s="34">
        <f>3669+1272</f>
        <v>4941</v>
      </c>
      <c r="G129" s="15">
        <v>1.774</v>
      </c>
      <c r="H129" s="15">
        <f t="shared" si="7"/>
        <v>8765.3340000000007</v>
      </c>
      <c r="I129" s="15">
        <v>2.5053846999999996</v>
      </c>
      <c r="J129" s="15">
        <f t="shared" si="8"/>
        <v>12379.105802699998</v>
      </c>
      <c r="K129" s="15">
        <f t="shared" si="9"/>
        <v>21144.439802699999</v>
      </c>
      <c r="L129" s="43"/>
    </row>
    <row r="130" spans="2:12" x14ac:dyDescent="0.2">
      <c r="B130" s="42" t="str">
        <f>IF(F130&lt;&gt;"",1+MAX($B$22:B129),"")</f>
        <v/>
      </c>
      <c r="C130" s="46"/>
      <c r="D130" s="8"/>
      <c r="E130" s="21"/>
      <c r="F130" s="61"/>
      <c r="G130" s="15">
        <v>0</v>
      </c>
      <c r="H130" s="15">
        <f t="shared" si="7"/>
        <v>0</v>
      </c>
      <c r="I130" s="15">
        <v>0</v>
      </c>
      <c r="J130" s="15">
        <f t="shared" si="8"/>
        <v>0</v>
      </c>
      <c r="K130" s="15">
        <f t="shared" si="9"/>
        <v>0</v>
      </c>
      <c r="L130" s="43"/>
    </row>
    <row r="131" spans="2:12" x14ac:dyDescent="0.2">
      <c r="B131" s="57" t="str">
        <f>IF(F131&lt;&gt;"",1+MAX($B$22:B130),"")</f>
        <v/>
      </c>
      <c r="C131" s="58"/>
      <c r="D131" s="59" t="s">
        <v>300</v>
      </c>
      <c r="E131" s="21"/>
      <c r="F131" s="34"/>
      <c r="G131" s="15">
        <v>0</v>
      </c>
      <c r="H131" s="15">
        <f t="shared" si="7"/>
        <v>0</v>
      </c>
      <c r="I131" s="15">
        <v>0</v>
      </c>
      <c r="J131" s="15">
        <f t="shared" si="8"/>
        <v>0</v>
      </c>
      <c r="K131" s="15">
        <f t="shared" si="9"/>
        <v>0</v>
      </c>
      <c r="L131" s="43"/>
    </row>
    <row r="132" spans="2:12" x14ac:dyDescent="0.2">
      <c r="B132" s="42">
        <f>IF(F132&lt;&gt;"",1+MAX($B$22:B131),"")</f>
        <v>58</v>
      </c>
      <c r="C132" s="112" t="s">
        <v>243</v>
      </c>
      <c r="D132" s="8" t="s">
        <v>361</v>
      </c>
      <c r="E132" s="21" t="s">
        <v>44</v>
      </c>
      <c r="F132" s="34">
        <v>42531</v>
      </c>
      <c r="G132" s="15">
        <v>0.8160400000000001</v>
      </c>
      <c r="H132" s="15">
        <f t="shared" si="7"/>
        <v>34706.997240000004</v>
      </c>
      <c r="I132" s="15">
        <v>0.64744679999999999</v>
      </c>
      <c r="J132" s="15">
        <f t="shared" si="8"/>
        <v>27536.5598508</v>
      </c>
      <c r="K132" s="15">
        <f t="shared" si="9"/>
        <v>62243.557090800008</v>
      </c>
      <c r="L132" s="43"/>
    </row>
    <row r="133" spans="2:12" x14ac:dyDescent="0.2">
      <c r="B133" s="42">
        <f>IF(F133&lt;&gt;"",1+MAX($B$22:B132),"")</f>
        <v>59</v>
      </c>
      <c r="C133" s="112"/>
      <c r="D133" s="8" t="s">
        <v>301</v>
      </c>
      <c r="E133" s="21" t="s">
        <v>44</v>
      </c>
      <c r="F133" s="34">
        <v>5957</v>
      </c>
      <c r="G133" s="15">
        <v>0.8160400000000001</v>
      </c>
      <c r="H133" s="15">
        <f t="shared" si="7"/>
        <v>4861.1502800000007</v>
      </c>
      <c r="I133" s="15">
        <v>0.64744679999999999</v>
      </c>
      <c r="J133" s="15">
        <f t="shared" si="8"/>
        <v>3856.8405875999997</v>
      </c>
      <c r="K133" s="15">
        <f t="shared" si="9"/>
        <v>8717.9908676000014</v>
      </c>
      <c r="L133" s="43"/>
    </row>
    <row r="134" spans="2:12" x14ac:dyDescent="0.2">
      <c r="B134" s="42" t="str">
        <f>IF(F134&lt;&gt;"",1+MAX($B$22:B133),"")</f>
        <v/>
      </c>
      <c r="C134" s="46"/>
      <c r="D134" s="8"/>
      <c r="E134" s="21"/>
      <c r="F134" s="34"/>
      <c r="G134" s="15">
        <v>0</v>
      </c>
      <c r="H134" s="15">
        <f t="shared" si="7"/>
        <v>0</v>
      </c>
      <c r="I134" s="15">
        <v>0</v>
      </c>
      <c r="J134" s="15">
        <f t="shared" si="8"/>
        <v>0</v>
      </c>
      <c r="K134" s="15">
        <f t="shared" si="9"/>
        <v>0</v>
      </c>
      <c r="L134" s="43"/>
    </row>
    <row r="135" spans="2:12" x14ac:dyDescent="0.2">
      <c r="B135" s="57" t="str">
        <f>IF(F135&lt;&gt;"",1+MAX($B$22:B134),"")</f>
        <v/>
      </c>
      <c r="C135" s="58"/>
      <c r="D135" s="59" t="s">
        <v>302</v>
      </c>
      <c r="E135" s="21"/>
      <c r="F135" s="34"/>
      <c r="G135" s="15">
        <v>0</v>
      </c>
      <c r="H135" s="15">
        <f t="shared" si="7"/>
        <v>0</v>
      </c>
      <c r="I135" s="15">
        <v>0</v>
      </c>
      <c r="J135" s="15">
        <f t="shared" si="8"/>
        <v>0</v>
      </c>
      <c r="K135" s="15">
        <f t="shared" si="9"/>
        <v>0</v>
      </c>
      <c r="L135" s="43"/>
    </row>
    <row r="136" spans="2:12" x14ac:dyDescent="0.2">
      <c r="B136" s="42">
        <f>IF(F136&lt;&gt;"",1+MAX($B$22:B135),"")</f>
        <v>60</v>
      </c>
      <c r="C136" s="112" t="s">
        <v>243</v>
      </c>
      <c r="D136" s="8" t="s">
        <v>360</v>
      </c>
      <c r="E136" s="21" t="s">
        <v>44</v>
      </c>
      <c r="F136" s="34">
        <v>42531</v>
      </c>
      <c r="G136" s="15">
        <v>0.29271000000000003</v>
      </c>
      <c r="H136" s="15">
        <f t="shared" si="7"/>
        <v>12449.249010000001</v>
      </c>
      <c r="I136" s="15">
        <v>0.81255719999999998</v>
      </c>
      <c r="J136" s="15">
        <f t="shared" si="8"/>
        <v>34558.870273200002</v>
      </c>
      <c r="K136" s="15">
        <f t="shared" si="9"/>
        <v>47008.119283200002</v>
      </c>
      <c r="L136" s="43"/>
    </row>
    <row r="137" spans="2:12" x14ac:dyDescent="0.2">
      <c r="B137" s="42">
        <f>IF(F137&lt;&gt;"",1+MAX($B$22:B136),"")</f>
        <v>61</v>
      </c>
      <c r="C137" s="112"/>
      <c r="D137" s="8" t="s">
        <v>303</v>
      </c>
      <c r="E137" s="21" t="s">
        <v>44</v>
      </c>
      <c r="F137" s="34">
        <f>5957</f>
        <v>5957</v>
      </c>
      <c r="G137" s="15">
        <v>0.29271000000000003</v>
      </c>
      <c r="H137" s="15">
        <f t="shared" si="7"/>
        <v>1743.6734700000002</v>
      </c>
      <c r="I137" s="15">
        <v>0.81255719999999998</v>
      </c>
      <c r="J137" s="15">
        <f t="shared" si="8"/>
        <v>4840.4032404</v>
      </c>
      <c r="K137" s="15">
        <f t="shared" si="9"/>
        <v>6584.0767104000006</v>
      </c>
      <c r="L137" s="43"/>
    </row>
    <row r="138" spans="2:12" x14ac:dyDescent="0.2">
      <c r="B138" s="42" t="str">
        <f>IF(F138&lt;&gt;"",1+MAX($B$22:B137),"")</f>
        <v/>
      </c>
      <c r="C138" s="64"/>
      <c r="D138" s="8"/>
      <c r="E138" s="21"/>
      <c r="F138" s="34"/>
      <c r="G138" s="15">
        <v>0</v>
      </c>
      <c r="H138" s="15">
        <f t="shared" si="7"/>
        <v>0</v>
      </c>
      <c r="I138" s="15">
        <v>0</v>
      </c>
      <c r="J138" s="15">
        <f t="shared" si="8"/>
        <v>0</v>
      </c>
      <c r="K138" s="15">
        <f t="shared" si="9"/>
        <v>0</v>
      </c>
      <c r="L138" s="43"/>
    </row>
    <row r="139" spans="2:12" x14ac:dyDescent="0.2">
      <c r="B139" s="57" t="str">
        <f>IF(F139&lt;&gt;"",1+MAX($B$22:B138),"")</f>
        <v/>
      </c>
      <c r="C139" s="58"/>
      <c r="D139" s="59" t="s">
        <v>85</v>
      </c>
      <c r="E139" s="21"/>
      <c r="F139" s="34"/>
      <c r="G139" s="15">
        <v>0</v>
      </c>
      <c r="H139" s="15">
        <f t="shared" si="7"/>
        <v>0</v>
      </c>
      <c r="I139" s="15">
        <v>0</v>
      </c>
      <c r="J139" s="15">
        <f t="shared" si="8"/>
        <v>0</v>
      </c>
      <c r="K139" s="15">
        <f t="shared" si="9"/>
        <v>0</v>
      </c>
      <c r="L139" s="43"/>
    </row>
    <row r="140" spans="2:12" ht="12.75" customHeight="1" x14ac:dyDescent="0.2">
      <c r="B140" s="42">
        <f>IF(F140&lt;&gt;"",1+MAX($B$22:B139),"")</f>
        <v>62</v>
      </c>
      <c r="C140" s="112" t="s">
        <v>211</v>
      </c>
      <c r="D140" s="8" t="s">
        <v>87</v>
      </c>
      <c r="E140" s="21" t="s">
        <v>86</v>
      </c>
      <c r="F140" s="34">
        <f>(11383/16/2*1)*0.668*1.1+391/1*2*0.668*1.1+38961+2400*0.668*1.1</f>
        <v>41560.515737499998</v>
      </c>
      <c r="G140" s="15">
        <v>0.66525000000000001</v>
      </c>
      <c r="H140" s="15">
        <f t="shared" si="7"/>
        <v>27648.133094371875</v>
      </c>
      <c r="I140" s="15">
        <v>0.49838879999999997</v>
      </c>
      <c r="J140" s="15">
        <f t="shared" si="8"/>
        <v>20713.295565793738</v>
      </c>
      <c r="K140" s="15">
        <f t="shared" si="9"/>
        <v>48361.428660165613</v>
      </c>
      <c r="L140" s="43"/>
    </row>
    <row r="141" spans="2:12" x14ac:dyDescent="0.2">
      <c r="B141" s="42">
        <f>IF(F141&lt;&gt;"",1+MAX($B$22:B140),"")</f>
        <v>63</v>
      </c>
      <c r="C141" s="112"/>
      <c r="D141" s="8" t="s">
        <v>88</v>
      </c>
      <c r="E141" s="21" t="s">
        <v>86</v>
      </c>
      <c r="F141" s="34">
        <f>(17074+4105+12+12)*1.04*1.1-2088</f>
        <v>22168.232</v>
      </c>
      <c r="G141" s="15">
        <v>0.70960000000000001</v>
      </c>
      <c r="H141" s="15">
        <f t="shared" si="7"/>
        <v>15730.5774272</v>
      </c>
      <c r="I141" s="15">
        <v>0.44854991999999994</v>
      </c>
      <c r="J141" s="15">
        <f t="shared" si="8"/>
        <v>9943.558690141439</v>
      </c>
      <c r="K141" s="15">
        <f t="shared" si="9"/>
        <v>25674.136117341441</v>
      </c>
      <c r="L141" s="43"/>
    </row>
    <row r="142" spans="2:12" x14ac:dyDescent="0.2">
      <c r="B142" s="42">
        <f>IF(F142&lt;&gt;"",1+MAX($B$22:B141),"")</f>
        <v>64</v>
      </c>
      <c r="C142" s="112"/>
      <c r="D142" s="8" t="s">
        <v>105</v>
      </c>
      <c r="E142" s="21" t="s">
        <v>86</v>
      </c>
      <c r="F142" s="34">
        <f>381/2*3*1.502*1.1+3775</f>
        <v>4719.2322999999997</v>
      </c>
      <c r="G142" s="15">
        <v>0.5942900000000001</v>
      </c>
      <c r="H142" s="15">
        <f t="shared" si="7"/>
        <v>2804.5925635670001</v>
      </c>
      <c r="I142" s="15">
        <v>0.39871103999999996</v>
      </c>
      <c r="J142" s="15">
        <f t="shared" si="8"/>
        <v>1881.6100183345916</v>
      </c>
      <c r="K142" s="15">
        <f t="shared" si="9"/>
        <v>4686.2025819015917</v>
      </c>
      <c r="L142" s="43"/>
    </row>
    <row r="143" spans="2:12" x14ac:dyDescent="0.2">
      <c r="B143" s="42">
        <f>IF(F143&lt;&gt;"",1+MAX($B$22:B142),"")</f>
        <v>65</v>
      </c>
      <c r="C143" s="46"/>
      <c r="D143" s="8" t="s">
        <v>227</v>
      </c>
      <c r="E143" s="21" t="s">
        <v>86</v>
      </c>
      <c r="F143" s="34">
        <f>4700*2.67*1.1+1489*2.67*1.1</f>
        <v>18177.093000000001</v>
      </c>
      <c r="G143" s="15">
        <v>0.61202999999999996</v>
      </c>
      <c r="H143" s="15">
        <f t="shared" si="7"/>
        <v>11124.92622879</v>
      </c>
      <c r="I143" s="15">
        <v>0.39871103999999996</v>
      </c>
      <c r="J143" s="15">
        <f t="shared" si="8"/>
        <v>7247.4076542067196</v>
      </c>
      <c r="K143" s="15">
        <f t="shared" si="9"/>
        <v>18372.333882996718</v>
      </c>
      <c r="L143" s="43"/>
    </row>
    <row r="144" spans="2:12" x14ac:dyDescent="0.2">
      <c r="B144" s="42" t="str">
        <f>IF(F144&lt;&gt;"",1+MAX($B$22:B143),"")</f>
        <v/>
      </c>
      <c r="C144" s="46"/>
      <c r="D144" s="8"/>
      <c r="E144" s="21"/>
      <c r="F144" s="34"/>
      <c r="G144" s="15">
        <v>0</v>
      </c>
      <c r="H144" s="15">
        <f t="shared" si="7"/>
        <v>0</v>
      </c>
      <c r="I144" s="15">
        <v>0</v>
      </c>
      <c r="J144" s="15">
        <f t="shared" si="8"/>
        <v>0</v>
      </c>
      <c r="K144" s="15">
        <f t="shared" si="9"/>
        <v>0</v>
      </c>
      <c r="L144" s="43"/>
    </row>
    <row r="145" spans="2:12" x14ac:dyDescent="0.2">
      <c r="B145" s="57" t="str">
        <f>IF(F145&lt;&gt;"",1+MAX($B$22:B144),"")</f>
        <v/>
      </c>
      <c r="C145" s="58"/>
      <c r="D145" s="59" t="s">
        <v>51</v>
      </c>
      <c r="E145" s="21"/>
      <c r="F145" s="34"/>
      <c r="G145" s="15">
        <v>0</v>
      </c>
      <c r="H145" s="15">
        <f t="shared" si="7"/>
        <v>0</v>
      </c>
      <c r="I145" s="15">
        <v>0</v>
      </c>
      <c r="J145" s="15">
        <f t="shared" si="8"/>
        <v>0</v>
      </c>
      <c r="K145" s="15">
        <f t="shared" si="9"/>
        <v>0</v>
      </c>
      <c r="L145" s="43"/>
    </row>
    <row r="146" spans="2:12" x14ac:dyDescent="0.2">
      <c r="B146" s="42">
        <f>IF(F146&lt;&gt;"",1+MAX($B$22:B145),"")</f>
        <v>66</v>
      </c>
      <c r="C146" s="46" t="s">
        <v>211</v>
      </c>
      <c r="D146" s="8" t="s">
        <v>91</v>
      </c>
      <c r="E146" s="21" t="s">
        <v>44</v>
      </c>
      <c r="F146" s="34">
        <f>11383</f>
        <v>11383</v>
      </c>
      <c r="G146" s="15">
        <v>0.22175</v>
      </c>
      <c r="H146" s="15">
        <f t="shared" ref="H146:H176" si="13">F146*G146</f>
        <v>2524.1802499999999</v>
      </c>
      <c r="I146" s="15">
        <v>0.23979228000000002</v>
      </c>
      <c r="J146" s="15">
        <f t="shared" ref="J146:J176" si="14">F146*I146</f>
        <v>2729.5555232400002</v>
      </c>
      <c r="K146" s="15">
        <f t="shared" si="9"/>
        <v>5253.7357732399996</v>
      </c>
      <c r="L146" s="43"/>
    </row>
    <row r="147" spans="2:12" x14ac:dyDescent="0.2">
      <c r="B147" s="42">
        <f>IF(F147&lt;&gt;"",1+MAX($B$22:B146),"")</f>
        <v>67</v>
      </c>
      <c r="C147" s="46"/>
      <c r="D147" s="8" t="s">
        <v>299</v>
      </c>
      <c r="E147" s="21" t="s">
        <v>44</v>
      </c>
      <c r="F147" s="34">
        <f>32506.7+234+1121+298</f>
        <v>34159.699999999997</v>
      </c>
      <c r="G147" s="15">
        <v>0.44350000000000001</v>
      </c>
      <c r="H147" s="15">
        <f t="shared" si="13"/>
        <v>15149.826949999999</v>
      </c>
      <c r="I147" s="15">
        <v>0.31972304000000001</v>
      </c>
      <c r="J147" s="15">
        <f t="shared" si="14"/>
        <v>10921.643129488</v>
      </c>
      <c r="K147" s="15">
        <f t="shared" si="9"/>
        <v>26071.470079487997</v>
      </c>
      <c r="L147" s="43"/>
    </row>
    <row r="148" spans="2:12" x14ac:dyDescent="0.2">
      <c r="B148" s="42" t="str">
        <f>IF(F148&lt;&gt;"",1+MAX($B$22:B147),"")</f>
        <v/>
      </c>
      <c r="C148" s="46"/>
      <c r="D148" s="8"/>
      <c r="E148" s="21"/>
      <c r="F148" s="34"/>
      <c r="G148" s="15">
        <v>0</v>
      </c>
      <c r="H148" s="15">
        <f t="shared" si="13"/>
        <v>0</v>
      </c>
      <c r="I148" s="15">
        <v>0</v>
      </c>
      <c r="J148" s="15">
        <f t="shared" si="14"/>
        <v>0</v>
      </c>
      <c r="K148" s="15">
        <f t="shared" si="9"/>
        <v>0</v>
      </c>
      <c r="L148" s="43"/>
    </row>
    <row r="149" spans="2:12" x14ac:dyDescent="0.2">
      <c r="B149" s="57" t="str">
        <f>IF(F149&lt;&gt;"",1+MAX($B$22:B148),"")</f>
        <v/>
      </c>
      <c r="C149" s="58"/>
      <c r="D149" s="59" t="s">
        <v>55</v>
      </c>
      <c r="E149" s="21"/>
      <c r="F149" s="34"/>
      <c r="G149" s="15">
        <v>0</v>
      </c>
      <c r="H149" s="15">
        <f t="shared" si="13"/>
        <v>0</v>
      </c>
      <c r="I149" s="15">
        <v>0</v>
      </c>
      <c r="J149" s="15">
        <f t="shared" si="14"/>
        <v>0</v>
      </c>
      <c r="K149" s="15">
        <f t="shared" si="9"/>
        <v>0</v>
      </c>
      <c r="L149" s="43"/>
    </row>
    <row r="150" spans="2:12" ht="25.5" x14ac:dyDescent="0.2">
      <c r="B150" s="42">
        <f>IF(F150&lt;&gt;"",1+MAX($B$22:B149),"")</f>
        <v>68</v>
      </c>
      <c r="C150" s="46" t="s">
        <v>211</v>
      </c>
      <c r="D150" s="8" t="s">
        <v>89</v>
      </c>
      <c r="E150" s="21" t="s">
        <v>44</v>
      </c>
      <c r="F150" s="34">
        <f>11383+23581</f>
        <v>34964</v>
      </c>
      <c r="G150" s="15">
        <v>1.6232099999999998</v>
      </c>
      <c r="H150" s="15">
        <f t="shared" si="13"/>
        <v>56753.914439999993</v>
      </c>
      <c r="I150" s="15">
        <v>4.9945896000000003</v>
      </c>
      <c r="J150" s="15">
        <f t="shared" si="14"/>
        <v>174630.8307744</v>
      </c>
      <c r="K150" s="15">
        <f t="shared" si="9"/>
        <v>231384.7452144</v>
      </c>
      <c r="L150" s="43"/>
    </row>
    <row r="151" spans="2:12" x14ac:dyDescent="0.2">
      <c r="B151" s="42" t="str">
        <f>IF(F151&lt;&gt;"",1+MAX($B$22:B150),"")</f>
        <v/>
      </c>
      <c r="C151" s="64"/>
      <c r="D151" s="8"/>
      <c r="E151" s="21"/>
      <c r="F151" s="34"/>
      <c r="G151" s="15">
        <v>0</v>
      </c>
      <c r="H151" s="15">
        <f t="shared" si="13"/>
        <v>0</v>
      </c>
      <c r="I151" s="15">
        <v>0</v>
      </c>
      <c r="J151" s="15">
        <f t="shared" si="14"/>
        <v>0</v>
      </c>
      <c r="K151" s="15">
        <f t="shared" si="9"/>
        <v>0</v>
      </c>
      <c r="L151" s="43"/>
    </row>
    <row r="152" spans="2:12" x14ac:dyDescent="0.2">
      <c r="B152" s="57" t="str">
        <f>IF(F152&lt;&gt;"",1+MAX($B$22:B151),"")</f>
        <v/>
      </c>
      <c r="C152" s="58"/>
      <c r="D152" s="59" t="s">
        <v>99</v>
      </c>
      <c r="E152" s="21"/>
      <c r="F152" s="34"/>
      <c r="G152" s="15">
        <v>0</v>
      </c>
      <c r="H152" s="15">
        <f t="shared" si="13"/>
        <v>0</v>
      </c>
      <c r="I152" s="15">
        <v>0</v>
      </c>
      <c r="J152" s="15">
        <f t="shared" si="14"/>
        <v>0</v>
      </c>
      <c r="K152" s="15">
        <f t="shared" si="9"/>
        <v>0</v>
      </c>
      <c r="L152" s="43"/>
    </row>
    <row r="153" spans="2:12" ht="25.5" x14ac:dyDescent="0.2">
      <c r="B153" s="42">
        <f>IF(F153&lt;&gt;"",1+MAX($B$22:B152),"")</f>
        <v>69</v>
      </c>
      <c r="C153" s="46" t="s">
        <v>211</v>
      </c>
      <c r="D153" s="8" t="s">
        <v>100</v>
      </c>
      <c r="E153" s="21" t="s">
        <v>44</v>
      </c>
      <c r="F153" s="34">
        <f>1793-612</f>
        <v>1181</v>
      </c>
      <c r="G153" s="15">
        <v>2.2973300000000001</v>
      </c>
      <c r="H153" s="15">
        <f t="shared" si="13"/>
        <v>2713.1467299999999</v>
      </c>
      <c r="I153" s="15">
        <v>4.4036447000000001</v>
      </c>
      <c r="J153" s="15">
        <f t="shared" si="14"/>
        <v>5200.7043906999997</v>
      </c>
      <c r="K153" s="15">
        <f t="shared" si="9"/>
        <v>7913.8511206999992</v>
      </c>
      <c r="L153" s="43"/>
    </row>
    <row r="154" spans="2:12" x14ac:dyDescent="0.2">
      <c r="B154" s="42" t="str">
        <f>IF(F154&lt;&gt;"",1+MAX($B$22:B153),"")</f>
        <v/>
      </c>
      <c r="C154" s="46"/>
      <c r="D154" s="8"/>
      <c r="E154" s="21"/>
      <c r="F154" s="34"/>
      <c r="G154" s="15">
        <v>0</v>
      </c>
      <c r="H154" s="15">
        <f t="shared" si="13"/>
        <v>0</v>
      </c>
      <c r="I154" s="15">
        <v>0</v>
      </c>
      <c r="J154" s="15">
        <f t="shared" si="14"/>
        <v>0</v>
      </c>
      <c r="K154" s="15">
        <f t="shared" ref="K154:K184" si="15">H154+J154</f>
        <v>0</v>
      </c>
      <c r="L154" s="43"/>
    </row>
    <row r="155" spans="2:12" x14ac:dyDescent="0.2">
      <c r="B155" s="57" t="str">
        <f>IF(F155&lt;&gt;"",1+MAX($B$22:B154),"")</f>
        <v/>
      </c>
      <c r="C155" s="58"/>
      <c r="D155" s="59" t="s">
        <v>56</v>
      </c>
      <c r="E155" s="21"/>
      <c r="F155" s="34"/>
      <c r="G155" s="15">
        <v>0</v>
      </c>
      <c r="H155" s="15">
        <f t="shared" si="13"/>
        <v>0</v>
      </c>
      <c r="I155" s="15">
        <v>0</v>
      </c>
      <c r="J155" s="15">
        <f t="shared" si="14"/>
        <v>0</v>
      </c>
      <c r="K155" s="15">
        <f t="shared" si="15"/>
        <v>0</v>
      </c>
      <c r="L155" s="43"/>
    </row>
    <row r="156" spans="2:12" ht="25.5" x14ac:dyDescent="0.2">
      <c r="B156" s="42">
        <f>IF(F156&lt;&gt;"",1+MAX($B$22:B155),"")</f>
        <v>70</v>
      </c>
      <c r="C156" s="46" t="s">
        <v>211</v>
      </c>
      <c r="D156" s="8" t="s">
        <v>103</v>
      </c>
      <c r="E156" s="21" t="s">
        <v>44</v>
      </c>
      <c r="F156" s="34">
        <v>47</v>
      </c>
      <c r="G156" s="15">
        <v>8.9143499999999989</v>
      </c>
      <c r="H156" s="15">
        <f t="shared" si="13"/>
        <v>418.97444999999993</v>
      </c>
      <c r="I156" s="15">
        <v>5.5207898199999992</v>
      </c>
      <c r="J156" s="15">
        <f t="shared" si="14"/>
        <v>259.47712153999998</v>
      </c>
      <c r="K156" s="15">
        <f t="shared" si="15"/>
        <v>678.45157153999992</v>
      </c>
      <c r="L156" s="43"/>
    </row>
    <row r="157" spans="2:12" x14ac:dyDescent="0.2">
      <c r="B157" s="42" t="str">
        <f>IF(F157&lt;&gt;"",1+MAX($B$22:B156),"")</f>
        <v/>
      </c>
      <c r="C157" s="46"/>
      <c r="D157" s="8"/>
      <c r="E157" s="21"/>
      <c r="F157" s="34"/>
      <c r="G157" s="15">
        <v>0</v>
      </c>
      <c r="H157" s="15">
        <f t="shared" si="13"/>
        <v>0</v>
      </c>
      <c r="I157" s="15">
        <v>0</v>
      </c>
      <c r="J157" s="15">
        <f t="shared" si="14"/>
        <v>0</v>
      </c>
      <c r="K157" s="15">
        <f t="shared" si="15"/>
        <v>0</v>
      </c>
      <c r="L157" s="43"/>
    </row>
    <row r="158" spans="2:12" x14ac:dyDescent="0.2">
      <c r="B158" s="57" t="str">
        <f>IF(F158&lt;&gt;"",1+MAX($B$22:B157),"")</f>
        <v/>
      </c>
      <c r="C158" s="58"/>
      <c r="D158" s="59" t="s">
        <v>101</v>
      </c>
      <c r="E158" s="21"/>
      <c r="F158" s="34"/>
      <c r="G158" s="15">
        <v>0</v>
      </c>
      <c r="H158" s="15">
        <f t="shared" si="13"/>
        <v>0</v>
      </c>
      <c r="I158" s="15">
        <v>0</v>
      </c>
      <c r="J158" s="15">
        <f t="shared" si="14"/>
        <v>0</v>
      </c>
      <c r="K158" s="15">
        <f t="shared" si="15"/>
        <v>0</v>
      </c>
      <c r="L158" s="43"/>
    </row>
    <row r="159" spans="2:12" ht="25.5" x14ac:dyDescent="0.2">
      <c r="B159" s="42">
        <f>IF(F159&lt;&gt;"",1+MAX($B$22:B158),"")</f>
        <v>71</v>
      </c>
      <c r="C159" s="112" t="s">
        <v>211</v>
      </c>
      <c r="D159" s="8" t="s">
        <v>102</v>
      </c>
      <c r="E159" s="21" t="s">
        <v>44</v>
      </c>
      <c r="F159" s="34">
        <f>1287</f>
        <v>1287</v>
      </c>
      <c r="G159" s="15">
        <v>2.2973300000000001</v>
      </c>
      <c r="H159" s="15">
        <f t="shared" si="13"/>
        <v>2956.6637100000003</v>
      </c>
      <c r="I159" s="15">
        <v>4.4036447000000001</v>
      </c>
      <c r="J159" s="15">
        <f t="shared" si="14"/>
        <v>5667.4907289000002</v>
      </c>
      <c r="K159" s="15">
        <f t="shared" si="15"/>
        <v>8624.154438900001</v>
      </c>
      <c r="L159" s="43"/>
    </row>
    <row r="160" spans="2:12" ht="25.5" x14ac:dyDescent="0.2">
      <c r="B160" s="42">
        <f>IF(F160&lt;&gt;"",1+MAX($B$22:B159),"")</f>
        <v>72</v>
      </c>
      <c r="C160" s="112"/>
      <c r="D160" s="8" t="s">
        <v>106</v>
      </c>
      <c r="E160" s="21" t="s">
        <v>44</v>
      </c>
      <c r="F160" s="34">
        <f>433</f>
        <v>433</v>
      </c>
      <c r="G160" s="15">
        <v>2.2973300000000001</v>
      </c>
      <c r="H160" s="15">
        <f t="shared" si="13"/>
        <v>994.74389000000008</v>
      </c>
      <c r="I160" s="15">
        <v>4.4036447000000001</v>
      </c>
      <c r="J160" s="15">
        <f t="shared" si="14"/>
        <v>1906.7781551</v>
      </c>
      <c r="K160" s="15">
        <f t="shared" si="15"/>
        <v>2901.5220451</v>
      </c>
      <c r="L160" s="43"/>
    </row>
    <row r="161" spans="2:12" x14ac:dyDescent="0.2">
      <c r="B161" s="42" t="str">
        <f>IF(F161&lt;&gt;"",1+MAX($B$22:B160),"")</f>
        <v/>
      </c>
      <c r="C161" s="46"/>
      <c r="D161" s="8"/>
      <c r="E161" s="21"/>
      <c r="F161" s="34"/>
      <c r="G161" s="15">
        <v>0</v>
      </c>
      <c r="H161" s="15">
        <f t="shared" si="13"/>
        <v>0</v>
      </c>
      <c r="I161" s="15">
        <v>0</v>
      </c>
      <c r="J161" s="15">
        <f t="shared" si="14"/>
        <v>0</v>
      </c>
      <c r="K161" s="15">
        <f t="shared" si="15"/>
        <v>0</v>
      </c>
      <c r="L161" s="43"/>
    </row>
    <row r="162" spans="2:12" x14ac:dyDescent="0.2">
      <c r="B162" s="57" t="str">
        <f>IF(F162&lt;&gt;"",1+MAX($B$22:B161),"")</f>
        <v/>
      </c>
      <c r="C162" s="58"/>
      <c r="D162" s="59" t="s">
        <v>71</v>
      </c>
      <c r="E162" s="21"/>
      <c r="F162" s="34"/>
      <c r="G162" s="15">
        <v>0</v>
      </c>
      <c r="H162" s="15">
        <f t="shared" si="13"/>
        <v>0</v>
      </c>
      <c r="I162" s="15">
        <v>0</v>
      </c>
      <c r="J162" s="15">
        <f t="shared" si="14"/>
        <v>0</v>
      </c>
      <c r="K162" s="15">
        <f t="shared" si="15"/>
        <v>0</v>
      </c>
      <c r="L162" s="43"/>
    </row>
    <row r="163" spans="2:12" x14ac:dyDescent="0.2">
      <c r="B163" s="42">
        <f>IF(F163&lt;&gt;"",1+MAX($B$22:B162),"")</f>
        <v>73</v>
      </c>
      <c r="C163" s="112" t="s">
        <v>211</v>
      </c>
      <c r="D163" s="8" t="s">
        <v>92</v>
      </c>
      <c r="E163" s="21" t="s">
        <v>44</v>
      </c>
      <c r="F163" s="34">
        <f>23</f>
        <v>23</v>
      </c>
      <c r="G163" s="15">
        <v>2.2973300000000001</v>
      </c>
      <c r="H163" s="15">
        <f t="shared" si="13"/>
        <v>52.838590000000003</v>
      </c>
      <c r="I163" s="15">
        <v>4.4036447000000001</v>
      </c>
      <c r="J163" s="15">
        <f t="shared" si="14"/>
        <v>101.28382810000001</v>
      </c>
      <c r="K163" s="15">
        <f t="shared" si="15"/>
        <v>154.1224181</v>
      </c>
      <c r="L163" s="43"/>
    </row>
    <row r="164" spans="2:12" x14ac:dyDescent="0.2">
      <c r="B164" s="42">
        <f>IF(F164&lt;&gt;"",1+MAX($B$22:B163),"")</f>
        <v>74</v>
      </c>
      <c r="C164" s="112"/>
      <c r="D164" s="8" t="s">
        <v>93</v>
      </c>
      <c r="E164" s="21" t="s">
        <v>44</v>
      </c>
      <c r="F164" s="34">
        <v>188</v>
      </c>
      <c r="G164" s="15">
        <v>2.2973300000000001</v>
      </c>
      <c r="H164" s="15">
        <f t="shared" si="13"/>
        <v>431.89804000000004</v>
      </c>
      <c r="I164" s="15">
        <v>4.4036447000000001</v>
      </c>
      <c r="J164" s="15">
        <f t="shared" si="14"/>
        <v>827.88520360000007</v>
      </c>
      <c r="K164" s="15">
        <f t="shared" si="15"/>
        <v>1259.7832436000001</v>
      </c>
      <c r="L164" s="43"/>
    </row>
    <row r="165" spans="2:12" x14ac:dyDescent="0.2">
      <c r="B165" s="42">
        <f>IF(F165&lt;&gt;"",1+MAX($B$22:B164),"")</f>
        <v>75</v>
      </c>
      <c r="C165" s="112"/>
      <c r="D165" s="8" t="s">
        <v>94</v>
      </c>
      <c r="E165" s="21" t="s">
        <v>44</v>
      </c>
      <c r="F165" s="34">
        <v>1863</v>
      </c>
      <c r="G165" s="15">
        <v>2.2973300000000001</v>
      </c>
      <c r="H165" s="15">
        <f t="shared" si="13"/>
        <v>4279.9257900000002</v>
      </c>
      <c r="I165" s="15">
        <v>4.4036447000000001</v>
      </c>
      <c r="J165" s="15">
        <f t="shared" si="14"/>
        <v>8203.9900761000008</v>
      </c>
      <c r="K165" s="15">
        <f t="shared" si="15"/>
        <v>12483.9158661</v>
      </c>
      <c r="L165" s="43"/>
    </row>
    <row r="166" spans="2:12" x14ac:dyDescent="0.2">
      <c r="B166" s="42">
        <f>IF(F166&lt;&gt;"",1+MAX($B$22:B165),"")</f>
        <v>76</v>
      </c>
      <c r="C166" s="112"/>
      <c r="D166" s="8" t="s">
        <v>95</v>
      </c>
      <c r="E166" s="21" t="s">
        <v>44</v>
      </c>
      <c r="F166" s="34">
        <v>391</v>
      </c>
      <c r="G166" s="15">
        <v>2.2973300000000001</v>
      </c>
      <c r="H166" s="15">
        <f t="shared" si="13"/>
        <v>898.25603000000001</v>
      </c>
      <c r="I166" s="15">
        <v>4.4036447000000001</v>
      </c>
      <c r="J166" s="15">
        <f t="shared" si="14"/>
        <v>1721.8250777000001</v>
      </c>
      <c r="K166" s="15">
        <f t="shared" si="15"/>
        <v>2620.0811076999998</v>
      </c>
      <c r="L166" s="43"/>
    </row>
    <row r="167" spans="2:12" x14ac:dyDescent="0.2">
      <c r="B167" s="42">
        <f>IF(F167&lt;&gt;"",1+MAX($B$22:B166),"")</f>
        <v>77</v>
      </c>
      <c r="C167" s="112"/>
      <c r="D167" s="8" t="s">
        <v>96</v>
      </c>
      <c r="E167" s="21" t="s">
        <v>44</v>
      </c>
      <c r="F167" s="34">
        <v>255</v>
      </c>
      <c r="G167" s="15">
        <v>2.5634299999999999</v>
      </c>
      <c r="H167" s="15">
        <f t="shared" si="13"/>
        <v>653.67464999999993</v>
      </c>
      <c r="I167" s="15">
        <v>3.3178145000000003</v>
      </c>
      <c r="J167" s="15">
        <f t="shared" si="14"/>
        <v>846.04269750000003</v>
      </c>
      <c r="K167" s="15">
        <f t="shared" si="15"/>
        <v>1499.7173475</v>
      </c>
      <c r="L167" s="43"/>
    </row>
    <row r="168" spans="2:12" x14ac:dyDescent="0.2">
      <c r="B168" s="42">
        <f>IF(F168&lt;&gt;"",1+MAX($B$22:B167),"")</f>
        <v>78</v>
      </c>
      <c r="C168" s="112"/>
      <c r="D168" s="8" t="s">
        <v>98</v>
      </c>
      <c r="E168" s="21" t="s">
        <v>44</v>
      </c>
      <c r="F168" s="34">
        <f>(12*12)*2</f>
        <v>288</v>
      </c>
      <c r="G168" s="15">
        <v>4.0713299999999997</v>
      </c>
      <c r="H168" s="15">
        <f t="shared" si="13"/>
        <v>1172.54304</v>
      </c>
      <c r="I168" s="15">
        <v>4.8862359</v>
      </c>
      <c r="J168" s="15">
        <f t="shared" si="14"/>
        <v>1407.2359392000001</v>
      </c>
      <c r="K168" s="15">
        <f t="shared" si="15"/>
        <v>2579.7789792000003</v>
      </c>
      <c r="L168" s="43"/>
    </row>
    <row r="169" spans="2:12" ht="38.25" x14ac:dyDescent="0.2">
      <c r="B169" s="42">
        <f>IF(F169&lt;&gt;"",1+MAX($B$22:B168),"")</f>
        <v>79</v>
      </c>
      <c r="C169" s="112"/>
      <c r="D169" s="8" t="s">
        <v>104</v>
      </c>
      <c r="E169" s="21" t="s">
        <v>44</v>
      </c>
      <c r="F169" s="34">
        <v>381</v>
      </c>
      <c r="G169" s="15">
        <v>2.7319599999999999</v>
      </c>
      <c r="H169" s="15">
        <f t="shared" si="13"/>
        <v>1040.8767599999999</v>
      </c>
      <c r="I169" s="15">
        <v>4.6449403</v>
      </c>
      <c r="J169" s="15">
        <f t="shared" si="14"/>
        <v>1769.7222543</v>
      </c>
      <c r="K169" s="15">
        <f t="shared" si="15"/>
        <v>2810.5990142999999</v>
      </c>
      <c r="L169" s="43"/>
    </row>
    <row r="170" spans="2:12" x14ac:dyDescent="0.2">
      <c r="B170" s="42">
        <f>IF(F170&lt;&gt;"",1+MAX($B$22:B169),"")</f>
        <v>80</v>
      </c>
      <c r="C170" s="112"/>
      <c r="D170" s="8" t="s">
        <v>107</v>
      </c>
      <c r="E170" s="21" t="s">
        <v>44</v>
      </c>
      <c r="F170" s="34">
        <v>98</v>
      </c>
      <c r="G170" s="15">
        <v>2.2973300000000001</v>
      </c>
      <c r="H170" s="15">
        <f t="shared" si="13"/>
        <v>225.13834</v>
      </c>
      <c r="I170" s="15">
        <v>4.4036447000000001</v>
      </c>
      <c r="J170" s="15">
        <f t="shared" si="14"/>
        <v>431.55718059999998</v>
      </c>
      <c r="K170" s="15">
        <f t="shared" si="15"/>
        <v>656.69552060000001</v>
      </c>
      <c r="L170" s="43"/>
    </row>
    <row r="171" spans="2:12" x14ac:dyDescent="0.2">
      <c r="B171" s="42">
        <f>IF(F171&lt;&gt;"",1+MAX($B$22:B170),"")</f>
        <v>81</v>
      </c>
      <c r="C171" s="112"/>
      <c r="D171" s="8" t="s">
        <v>108</v>
      </c>
      <c r="E171" s="21" t="s">
        <v>44</v>
      </c>
      <c r="F171" s="34">
        <v>143</v>
      </c>
      <c r="G171" s="15">
        <v>2.2973300000000001</v>
      </c>
      <c r="H171" s="15">
        <f t="shared" si="13"/>
        <v>328.51819</v>
      </c>
      <c r="I171" s="15">
        <v>4.4036447000000001</v>
      </c>
      <c r="J171" s="15">
        <f t="shared" si="14"/>
        <v>629.72119210000005</v>
      </c>
      <c r="K171" s="15">
        <f t="shared" si="15"/>
        <v>958.23938210000006</v>
      </c>
      <c r="L171" s="43"/>
    </row>
    <row r="172" spans="2:12" x14ac:dyDescent="0.2">
      <c r="B172" s="42">
        <f>IF(F172&lt;&gt;"",1+MAX($B$22:B171),"")</f>
        <v>82</v>
      </c>
      <c r="C172" s="112"/>
      <c r="D172" s="8" t="s">
        <v>95</v>
      </c>
      <c r="E172" s="21" t="s">
        <v>44</v>
      </c>
      <c r="F172" s="34">
        <v>391</v>
      </c>
      <c r="G172" s="15">
        <v>2.2973300000000001</v>
      </c>
      <c r="H172" s="15">
        <f t="shared" si="13"/>
        <v>898.25603000000001</v>
      </c>
      <c r="I172" s="15">
        <v>4.4036447000000001</v>
      </c>
      <c r="J172" s="15">
        <f t="shared" si="14"/>
        <v>1721.8250777000001</v>
      </c>
      <c r="K172" s="15">
        <f t="shared" si="15"/>
        <v>2620.0811076999998</v>
      </c>
      <c r="L172" s="43"/>
    </row>
    <row r="173" spans="2:12" x14ac:dyDescent="0.2">
      <c r="B173" s="42">
        <f>IF(F173&lt;&gt;"",1+MAX($B$22:B172),"")</f>
        <v>83</v>
      </c>
      <c r="C173" s="112"/>
      <c r="D173" s="8" t="s">
        <v>109</v>
      </c>
      <c r="E173" s="21" t="s">
        <v>44</v>
      </c>
      <c r="F173" s="34">
        <v>255</v>
      </c>
      <c r="G173" s="15">
        <v>4.0713299999999997</v>
      </c>
      <c r="H173" s="15">
        <f t="shared" si="13"/>
        <v>1038.1891499999999</v>
      </c>
      <c r="I173" s="15">
        <v>4.8862359</v>
      </c>
      <c r="J173" s="15">
        <f t="shared" si="14"/>
        <v>1245.9901545</v>
      </c>
      <c r="K173" s="15">
        <f t="shared" si="15"/>
        <v>2284.1793044999999</v>
      </c>
      <c r="L173" s="43"/>
    </row>
    <row r="174" spans="2:12" x14ac:dyDescent="0.2">
      <c r="B174" s="42">
        <f>IF(F174&lt;&gt;"",1+MAX($B$22:B173),"")</f>
        <v>84</v>
      </c>
      <c r="C174" s="112"/>
      <c r="D174" s="8" t="s">
        <v>172</v>
      </c>
      <c r="E174" s="21" t="s">
        <v>44</v>
      </c>
      <c r="F174" s="34">
        <v>32</v>
      </c>
      <c r="G174" s="15">
        <v>3.2730299999999999</v>
      </c>
      <c r="H174" s="15">
        <f t="shared" si="13"/>
        <v>104.73696</v>
      </c>
      <c r="I174" s="15">
        <v>4.7052642000000002</v>
      </c>
      <c r="J174" s="15">
        <f t="shared" si="14"/>
        <v>150.56845440000001</v>
      </c>
      <c r="K174" s="15">
        <f t="shared" si="15"/>
        <v>255.30541440000002</v>
      </c>
      <c r="L174" s="43"/>
    </row>
    <row r="175" spans="2:12" x14ac:dyDescent="0.2">
      <c r="B175" s="42">
        <f>IF(F175&lt;&gt;"",1+MAX($B$22:B174),"")</f>
        <v>85</v>
      </c>
      <c r="C175" s="112"/>
      <c r="D175" s="8" t="s">
        <v>179</v>
      </c>
      <c r="E175" s="21" t="s">
        <v>44</v>
      </c>
      <c r="F175" s="34">
        <v>721</v>
      </c>
      <c r="G175" s="15">
        <v>3.2730299999999999</v>
      </c>
      <c r="H175" s="15">
        <f t="shared" si="13"/>
        <v>2359.8546299999998</v>
      </c>
      <c r="I175" s="15">
        <v>4.7052642000000002</v>
      </c>
      <c r="J175" s="15">
        <f t="shared" si="14"/>
        <v>3392.4954882000002</v>
      </c>
      <c r="K175" s="15">
        <f t="shared" si="15"/>
        <v>5752.3501182</v>
      </c>
      <c r="L175" s="43"/>
    </row>
    <row r="176" spans="2:12" x14ac:dyDescent="0.2">
      <c r="B176" s="42" t="str">
        <f>IF(F176&lt;&gt;"",1+MAX($B$22:B175),"")</f>
        <v/>
      </c>
      <c r="C176" s="112"/>
      <c r="D176" s="8"/>
      <c r="E176" s="21"/>
      <c r="F176" s="34"/>
      <c r="G176" s="15">
        <v>0</v>
      </c>
      <c r="H176" s="15">
        <f t="shared" si="13"/>
        <v>0</v>
      </c>
      <c r="I176" s="15">
        <v>0</v>
      </c>
      <c r="J176" s="15">
        <f t="shared" si="14"/>
        <v>0</v>
      </c>
      <c r="K176" s="15">
        <f t="shared" si="15"/>
        <v>0</v>
      </c>
      <c r="L176" s="43"/>
    </row>
    <row r="177" spans="2:13" x14ac:dyDescent="0.2">
      <c r="B177" s="42" t="str">
        <f>IF(F177&lt;&gt;"",1+MAX($B$22:B176),"")</f>
        <v/>
      </c>
      <c r="C177" s="112"/>
      <c r="D177" s="44" t="s">
        <v>111</v>
      </c>
      <c r="E177" s="21"/>
      <c r="F177" s="34"/>
      <c r="G177" s="15">
        <v>0</v>
      </c>
      <c r="H177" s="15">
        <f t="shared" ref="H177:H197" si="16">F177*G177</f>
        <v>0</v>
      </c>
      <c r="I177" s="15">
        <v>0</v>
      </c>
      <c r="J177" s="15">
        <f t="shared" ref="J177:J197" si="17">F177*I177</f>
        <v>0</v>
      </c>
      <c r="K177" s="15">
        <f t="shared" si="15"/>
        <v>0</v>
      </c>
      <c r="L177" s="43"/>
    </row>
    <row r="178" spans="2:13" x14ac:dyDescent="0.2">
      <c r="B178" s="42">
        <f>IF(F178&lt;&gt;"",1+MAX($B$22:B177),"")</f>
        <v>86</v>
      </c>
      <c r="C178" s="112"/>
      <c r="D178" s="8" t="s">
        <v>112</v>
      </c>
      <c r="E178" s="21" t="s">
        <v>46</v>
      </c>
      <c r="F178" s="34">
        <v>16</v>
      </c>
      <c r="G178" s="15">
        <v>0.86038999999999999</v>
      </c>
      <c r="H178" s="15">
        <f t="shared" si="16"/>
        <v>13.76624</v>
      </c>
      <c r="I178" s="15">
        <v>1.0727080000000002</v>
      </c>
      <c r="J178" s="15">
        <f t="shared" si="17"/>
        <v>17.163328000000003</v>
      </c>
      <c r="K178" s="15">
        <f t="shared" si="15"/>
        <v>30.929568000000003</v>
      </c>
      <c r="L178" s="43"/>
    </row>
    <row r="179" spans="2:13" x14ac:dyDescent="0.2">
      <c r="B179" s="42">
        <f>IF(F179&lt;&gt;"",1+MAX($B$22:B178),"")</f>
        <v>87</v>
      </c>
      <c r="C179" s="112"/>
      <c r="D179" s="8" t="s">
        <v>111</v>
      </c>
      <c r="E179" s="21" t="s">
        <v>46</v>
      </c>
      <c r="F179" s="34">
        <v>31</v>
      </c>
      <c r="G179" s="15">
        <v>0.86038999999999999</v>
      </c>
      <c r="H179" s="15">
        <f t="shared" si="16"/>
        <v>26.672090000000001</v>
      </c>
      <c r="I179" s="15">
        <v>1.0727080000000002</v>
      </c>
      <c r="J179" s="15">
        <f t="shared" si="17"/>
        <v>33.253948000000008</v>
      </c>
      <c r="K179" s="15">
        <f t="shared" si="15"/>
        <v>59.926038000000005</v>
      </c>
      <c r="L179" s="43"/>
    </row>
    <row r="180" spans="2:13" x14ac:dyDescent="0.2">
      <c r="B180" s="42" t="str">
        <f>IF(F180&lt;&gt;"",1+MAX($B$22:B179),"")</f>
        <v/>
      </c>
      <c r="C180" s="46"/>
      <c r="D180" s="8"/>
      <c r="E180" s="21"/>
      <c r="F180" s="34"/>
      <c r="G180" s="15">
        <v>0</v>
      </c>
      <c r="H180" s="15">
        <f t="shared" si="16"/>
        <v>0</v>
      </c>
      <c r="I180" s="15">
        <v>0</v>
      </c>
      <c r="J180" s="15">
        <f t="shared" si="17"/>
        <v>0</v>
      </c>
      <c r="K180" s="15">
        <f t="shared" si="15"/>
        <v>0</v>
      </c>
      <c r="L180" s="43"/>
    </row>
    <row r="181" spans="2:13" x14ac:dyDescent="0.2">
      <c r="B181" s="57" t="str">
        <f>IF(F181&lt;&gt;"",1+MAX($B$22:B180),"")</f>
        <v/>
      </c>
      <c r="C181" s="58"/>
      <c r="D181" s="59" t="s">
        <v>149</v>
      </c>
      <c r="E181" s="21"/>
      <c r="F181" s="34"/>
      <c r="G181" s="15">
        <v>0</v>
      </c>
      <c r="H181" s="15">
        <f t="shared" si="16"/>
        <v>0</v>
      </c>
      <c r="I181" s="15">
        <v>0</v>
      </c>
      <c r="J181" s="15">
        <f t="shared" si="17"/>
        <v>0</v>
      </c>
      <c r="K181" s="15">
        <f t="shared" si="15"/>
        <v>0</v>
      </c>
      <c r="L181" s="43"/>
    </row>
    <row r="182" spans="2:13" x14ac:dyDescent="0.2">
      <c r="B182" s="42">
        <f>IF(F182&lt;&gt;"",1+MAX($B$22:B181),"")</f>
        <v>88</v>
      </c>
      <c r="C182" s="112" t="s">
        <v>211</v>
      </c>
      <c r="D182" s="8" t="s">
        <v>150</v>
      </c>
      <c r="E182" s="21" t="s">
        <v>45</v>
      </c>
      <c r="F182" s="61">
        <f>3.14*0.25*0.25*2.5*70/27</f>
        <v>1.2719907407407407</v>
      </c>
      <c r="G182" s="15">
        <v>269.84314000000001</v>
      </c>
      <c r="H182" s="15">
        <f t="shared" si="16"/>
        <v>343.2379755324074</v>
      </c>
      <c r="I182" s="15">
        <v>426.6971891</v>
      </c>
      <c r="J182" s="15">
        <f t="shared" si="17"/>
        <v>542.7548736353009</v>
      </c>
      <c r="K182" s="15">
        <f t="shared" si="15"/>
        <v>885.9928491677083</v>
      </c>
      <c r="L182" s="43"/>
    </row>
    <row r="183" spans="2:13" x14ac:dyDescent="0.2">
      <c r="B183" s="42">
        <f>IF(F183&lt;&gt;"",1+MAX($B$22:B182),"")</f>
        <v>89</v>
      </c>
      <c r="C183" s="112"/>
      <c r="D183" s="8" t="s">
        <v>162</v>
      </c>
      <c r="E183" s="21" t="s">
        <v>45</v>
      </c>
      <c r="F183" s="61">
        <v>4.7</v>
      </c>
      <c r="G183" s="15">
        <v>269.84314000000001</v>
      </c>
      <c r="H183" s="15">
        <f t="shared" si="16"/>
        <v>1268.2627580000001</v>
      </c>
      <c r="I183" s="15">
        <v>426.6971891</v>
      </c>
      <c r="J183" s="15">
        <f t="shared" si="17"/>
        <v>2005.47678877</v>
      </c>
      <c r="K183" s="15">
        <f t="shared" si="15"/>
        <v>3273.7395467699998</v>
      </c>
      <c r="L183" s="43"/>
    </row>
    <row r="184" spans="2:13" x14ac:dyDescent="0.2">
      <c r="B184" s="42">
        <f>IF(F184&lt;&gt;"",1+MAX($B$22:B183),"")</f>
        <v>90</v>
      </c>
      <c r="C184" s="112"/>
      <c r="D184" s="8" t="s">
        <v>178</v>
      </c>
      <c r="E184" s="21" t="s">
        <v>45</v>
      </c>
      <c r="F184" s="61">
        <v>6.9</v>
      </c>
      <c r="G184" s="15">
        <v>269.84314000000001</v>
      </c>
      <c r="H184" s="15">
        <f t="shared" si="16"/>
        <v>1861.9176660000001</v>
      </c>
      <c r="I184" s="15">
        <v>426.6971891</v>
      </c>
      <c r="J184" s="15">
        <f t="shared" si="17"/>
        <v>2944.2106047900002</v>
      </c>
      <c r="K184" s="15">
        <f t="shared" si="15"/>
        <v>4806.12827079</v>
      </c>
      <c r="L184" s="43"/>
    </row>
    <row r="185" spans="2:13" ht="25.5" x14ac:dyDescent="0.2">
      <c r="B185" s="42">
        <f>IF(F185&lt;&gt;"",1+MAX($B$22:B184),"")</f>
        <v>91</v>
      </c>
      <c r="C185" s="112"/>
      <c r="D185" s="8" t="s">
        <v>182</v>
      </c>
      <c r="E185" s="21" t="s">
        <v>45</v>
      </c>
      <c r="F185" s="61">
        <f>3.14*1*1*7*2/27</f>
        <v>1.6281481481481481</v>
      </c>
      <c r="G185" s="15">
        <v>269.84314000000001</v>
      </c>
      <c r="H185" s="15">
        <f t="shared" si="16"/>
        <v>439.34460868148147</v>
      </c>
      <c r="I185" s="15">
        <v>426.6971891</v>
      </c>
      <c r="J185" s="15">
        <f t="shared" si="17"/>
        <v>694.72623825318522</v>
      </c>
      <c r="K185" s="15">
        <f t="shared" ref="K185:K197" si="18">H185+J185</f>
        <v>1134.0708469346666</v>
      </c>
      <c r="L185" s="43"/>
    </row>
    <row r="186" spans="2:13" x14ac:dyDescent="0.2">
      <c r="B186" s="42" t="str">
        <f>IF(F186&lt;&gt;"",1+MAX($B$22:B185),"")</f>
        <v/>
      </c>
      <c r="C186" s="46"/>
      <c r="D186" s="8"/>
      <c r="E186" s="21"/>
      <c r="F186" s="34"/>
      <c r="G186" s="15">
        <v>0</v>
      </c>
      <c r="H186" s="15">
        <f t="shared" si="16"/>
        <v>0</v>
      </c>
      <c r="I186" s="15">
        <v>0</v>
      </c>
      <c r="J186" s="15">
        <f t="shared" si="17"/>
        <v>0</v>
      </c>
      <c r="K186" s="15">
        <f t="shared" si="18"/>
        <v>0</v>
      </c>
      <c r="L186" s="43"/>
    </row>
    <row r="187" spans="2:13" x14ac:dyDescent="0.2">
      <c r="B187" s="57" t="str">
        <f>IF(F187&lt;&gt;"",1+MAX($B$22:B186),"")</f>
        <v/>
      </c>
      <c r="C187" s="59"/>
      <c r="D187" s="59" t="s">
        <v>366</v>
      </c>
      <c r="E187" s="21"/>
      <c r="F187" s="34"/>
      <c r="G187" s="15">
        <v>0</v>
      </c>
      <c r="H187" s="15">
        <f t="shared" si="16"/>
        <v>0</v>
      </c>
      <c r="I187" s="15">
        <v>0</v>
      </c>
      <c r="J187" s="15">
        <f t="shared" si="17"/>
        <v>0</v>
      </c>
      <c r="K187" s="15">
        <f t="shared" si="18"/>
        <v>0</v>
      </c>
      <c r="L187" s="43"/>
    </row>
    <row r="188" spans="2:13" ht="63.75" x14ac:dyDescent="0.2">
      <c r="B188" s="42">
        <f>IF(F188&lt;&gt;"",1+MAX($B$22:B187),"")</f>
        <v>92</v>
      </c>
      <c r="C188" s="112" t="s">
        <v>211</v>
      </c>
      <c r="D188" s="8" t="s">
        <v>77</v>
      </c>
      <c r="E188" s="21" t="s">
        <v>44</v>
      </c>
      <c r="F188" s="34">
        <f>176*3</f>
        <v>528</v>
      </c>
      <c r="G188" s="15">
        <v>10.86575</v>
      </c>
      <c r="H188" s="15">
        <f t="shared" si="16"/>
        <v>5737.116</v>
      </c>
      <c r="I188" s="15">
        <v>13.695181500000002</v>
      </c>
      <c r="J188" s="15">
        <f t="shared" si="17"/>
        <v>7231.0558320000009</v>
      </c>
      <c r="K188" s="15">
        <f t="shared" si="18"/>
        <v>12968.171832</v>
      </c>
      <c r="L188" s="43"/>
      <c r="M188" s="11"/>
    </row>
    <row r="189" spans="2:13" x14ac:dyDescent="0.2">
      <c r="B189" s="42">
        <f>IF(F189&lt;&gt;"",1+MAX($B$22:B188),"")</f>
        <v>93</v>
      </c>
      <c r="C189" s="112"/>
      <c r="D189" s="8" t="s">
        <v>365</v>
      </c>
      <c r="E189" s="21" t="s">
        <v>46</v>
      </c>
      <c r="F189" s="34">
        <v>176</v>
      </c>
      <c r="G189" s="15">
        <v>1.9957500000000001</v>
      </c>
      <c r="H189" s="15">
        <f t="shared" si="16"/>
        <v>351.25200000000001</v>
      </c>
      <c r="I189" s="15">
        <v>5.75073408</v>
      </c>
      <c r="J189" s="15">
        <f t="shared" si="17"/>
        <v>1012.12919808</v>
      </c>
      <c r="K189" s="15">
        <f t="shared" si="18"/>
        <v>1363.3811980800001</v>
      </c>
      <c r="L189" s="43"/>
      <c r="M189" s="11"/>
    </row>
    <row r="190" spans="2:13" x14ac:dyDescent="0.2">
      <c r="B190" s="42" t="str">
        <f>IF(F190&lt;&gt;"",1+MAX($B$22:B189),"")</f>
        <v/>
      </c>
      <c r="C190" s="46"/>
      <c r="D190" s="8"/>
      <c r="E190" s="21"/>
      <c r="F190" s="24"/>
      <c r="G190" s="15">
        <v>0</v>
      </c>
      <c r="H190" s="15">
        <f t="shared" si="16"/>
        <v>0</v>
      </c>
      <c r="I190" s="15">
        <v>0</v>
      </c>
      <c r="J190" s="15">
        <f t="shared" si="17"/>
        <v>0</v>
      </c>
      <c r="K190" s="15">
        <f t="shared" si="18"/>
        <v>0</v>
      </c>
      <c r="L190" s="43"/>
      <c r="M190" s="11"/>
    </row>
    <row r="191" spans="2:13" x14ac:dyDescent="0.2">
      <c r="B191" s="57" t="str">
        <f>IF(F191&lt;&gt;"",1+MAX($B$22:B190),"")</f>
        <v/>
      </c>
      <c r="C191" s="58"/>
      <c r="D191" s="59" t="s">
        <v>113</v>
      </c>
      <c r="E191" s="21"/>
      <c r="F191" s="34"/>
      <c r="G191" s="15">
        <v>0</v>
      </c>
      <c r="H191" s="15">
        <f t="shared" si="16"/>
        <v>0</v>
      </c>
      <c r="I191" s="15">
        <v>0</v>
      </c>
      <c r="J191" s="15">
        <f t="shared" si="17"/>
        <v>0</v>
      </c>
      <c r="K191" s="15">
        <f t="shared" si="18"/>
        <v>0</v>
      </c>
      <c r="L191" s="43"/>
    </row>
    <row r="192" spans="2:13" x14ac:dyDescent="0.2">
      <c r="B192" s="42">
        <f>IF(F192&lt;&gt;"",1+MAX($B$22:B191),"")</f>
        <v>94</v>
      </c>
      <c r="C192" s="112" t="s">
        <v>211</v>
      </c>
      <c r="D192" s="8" t="s">
        <v>114</v>
      </c>
      <c r="E192" s="21" t="s">
        <v>45</v>
      </c>
      <c r="F192" s="34">
        <f>192*1*3.5/27</f>
        <v>24.888888888888889</v>
      </c>
      <c r="G192" s="15">
        <v>324.642</v>
      </c>
      <c r="H192" s="15">
        <f t="shared" si="16"/>
        <v>8079.9786666666669</v>
      </c>
      <c r="I192" s="15">
        <v>350.32677498000004</v>
      </c>
      <c r="J192" s="15">
        <f t="shared" si="17"/>
        <v>8719.2441772800012</v>
      </c>
      <c r="K192" s="15">
        <f t="shared" si="18"/>
        <v>16799.222843946667</v>
      </c>
      <c r="L192" s="43"/>
    </row>
    <row r="193" spans="2:12" x14ac:dyDescent="0.2">
      <c r="B193" s="42" t="str">
        <f>IF(F193&lt;&gt;"",1+MAX($B$22:B192),"")</f>
        <v/>
      </c>
      <c r="C193" s="112"/>
      <c r="D193" s="8"/>
      <c r="E193" s="21"/>
      <c r="F193" s="34"/>
      <c r="G193" s="15">
        <v>0</v>
      </c>
      <c r="H193" s="15">
        <f t="shared" si="16"/>
        <v>0</v>
      </c>
      <c r="I193" s="15">
        <v>0</v>
      </c>
      <c r="J193" s="15">
        <f t="shared" si="17"/>
        <v>0</v>
      </c>
      <c r="K193" s="15">
        <f t="shared" si="18"/>
        <v>0</v>
      </c>
      <c r="L193" s="43"/>
    </row>
    <row r="194" spans="2:12" x14ac:dyDescent="0.2">
      <c r="B194" s="42" t="str">
        <f>IF(F194&lt;&gt;"",1+MAX($B$22:B193),"")</f>
        <v/>
      </c>
      <c r="C194" s="112"/>
      <c r="D194" s="44" t="s">
        <v>115</v>
      </c>
      <c r="E194" s="21"/>
      <c r="F194" s="34"/>
      <c r="G194" s="15">
        <v>0</v>
      </c>
      <c r="H194" s="15">
        <f t="shared" si="16"/>
        <v>0</v>
      </c>
      <c r="I194" s="15">
        <v>0</v>
      </c>
      <c r="J194" s="15">
        <f t="shared" si="17"/>
        <v>0</v>
      </c>
      <c r="K194" s="15">
        <f t="shared" si="18"/>
        <v>0</v>
      </c>
      <c r="L194" s="43"/>
    </row>
    <row r="195" spans="2:12" x14ac:dyDescent="0.2">
      <c r="B195" s="42">
        <f>IF(F195&lt;&gt;"",1+MAX($B$22:B194),"")</f>
        <v>95</v>
      </c>
      <c r="C195" s="112"/>
      <c r="D195" s="8" t="s">
        <v>116</v>
      </c>
      <c r="E195" s="21" t="s">
        <v>44</v>
      </c>
      <c r="F195" s="34">
        <f>192*3.5*2</f>
        <v>1344</v>
      </c>
      <c r="G195" s="15">
        <v>1.774</v>
      </c>
      <c r="H195" s="15">
        <f t="shared" si="16"/>
        <v>2384.2559999999999</v>
      </c>
      <c r="I195" s="15">
        <v>2.5053846999999996</v>
      </c>
      <c r="J195" s="15">
        <f t="shared" si="17"/>
        <v>3367.2370367999993</v>
      </c>
      <c r="K195" s="15">
        <f t="shared" si="18"/>
        <v>5751.4930367999987</v>
      </c>
      <c r="L195" s="43"/>
    </row>
    <row r="196" spans="2:12" x14ac:dyDescent="0.2">
      <c r="B196" s="42"/>
      <c r="C196" s="46"/>
      <c r="D196" s="8"/>
      <c r="E196" s="21"/>
      <c r="F196" s="34"/>
      <c r="G196" s="15"/>
      <c r="H196" s="15"/>
      <c r="I196" s="15"/>
      <c r="J196" s="15"/>
      <c r="K196" s="15"/>
      <c r="L196" s="43"/>
    </row>
    <row r="197" spans="2:12" x14ac:dyDescent="0.2">
      <c r="B197" s="57" t="str">
        <f>IF(F197&lt;&gt;"",1+MAX($B$22:B195),"")</f>
        <v/>
      </c>
      <c r="C197" s="58"/>
      <c r="D197" s="59" t="s">
        <v>382</v>
      </c>
      <c r="E197" s="21"/>
      <c r="F197" s="34"/>
      <c r="G197" s="15">
        <v>0</v>
      </c>
      <c r="H197" s="15">
        <f t="shared" si="16"/>
        <v>0</v>
      </c>
      <c r="I197" s="15">
        <v>0</v>
      </c>
      <c r="J197" s="15">
        <f t="shared" si="17"/>
        <v>0</v>
      </c>
      <c r="K197" s="15">
        <f t="shared" si="18"/>
        <v>0</v>
      </c>
      <c r="L197" s="43"/>
    </row>
    <row r="198" spans="2:12" x14ac:dyDescent="0.2">
      <c r="B198" s="42" t="str">
        <f>IF(F198&lt;&gt;"",1+MAX($B$22:B191),"")</f>
        <v/>
      </c>
      <c r="C198" s="46"/>
      <c r="D198" s="8"/>
      <c r="E198" s="21"/>
      <c r="F198" s="34"/>
      <c r="G198" s="15"/>
      <c r="H198" s="15"/>
      <c r="I198" s="15"/>
      <c r="J198" s="15"/>
      <c r="K198" s="15"/>
      <c r="L198" s="43"/>
    </row>
    <row r="199" spans="2:12" x14ac:dyDescent="0.2">
      <c r="B199" s="42" t="str">
        <f>IF(F199&lt;&gt;"",1+MAX($B$22:B198),"")</f>
        <v/>
      </c>
      <c r="C199" s="46"/>
      <c r="D199" s="44" t="s">
        <v>64</v>
      </c>
      <c r="E199" s="21"/>
      <c r="F199" s="34"/>
      <c r="G199" s="15"/>
      <c r="H199" s="15"/>
      <c r="I199" s="15"/>
      <c r="J199" s="15"/>
      <c r="K199" s="15"/>
      <c r="L199" s="43"/>
    </row>
    <row r="200" spans="2:12" ht="25.5" x14ac:dyDescent="0.2">
      <c r="B200" s="71">
        <f>IF(F200&lt;&gt;"",1+MAX($B$22:B199),"")</f>
        <v>96</v>
      </c>
      <c r="C200" s="46"/>
      <c r="D200" s="8" t="s">
        <v>383</v>
      </c>
      <c r="E200" s="21" t="s">
        <v>44</v>
      </c>
      <c r="F200" s="34">
        <v>4120</v>
      </c>
      <c r="G200" s="15">
        <v>1.27728</v>
      </c>
      <c r="H200" s="15">
        <f t="shared" ref="H200:H205" si="19">F200*G200</f>
        <v>5262.3936000000003</v>
      </c>
      <c r="I200" s="15">
        <v>3.0765188999999999</v>
      </c>
      <c r="J200" s="15">
        <f t="shared" ref="J200:J205" si="20">F200*I200</f>
        <v>12675.257868000001</v>
      </c>
      <c r="K200" s="15">
        <f t="shared" ref="K200:K205" si="21">H200+J200</f>
        <v>17937.651468</v>
      </c>
      <c r="L200" s="43"/>
    </row>
    <row r="201" spans="2:12" ht="25.5" x14ac:dyDescent="0.2">
      <c r="B201" s="71">
        <f>IF(F201&lt;&gt;"",1+MAX($B$22:B200),"")</f>
        <v>97</v>
      </c>
      <c r="C201" s="46"/>
      <c r="D201" s="8" t="s">
        <v>384</v>
      </c>
      <c r="E201" s="21" t="s">
        <v>44</v>
      </c>
      <c r="F201" s="34">
        <v>8324</v>
      </c>
      <c r="G201" s="15">
        <v>2.25298</v>
      </c>
      <c r="H201" s="15">
        <f t="shared" si="19"/>
        <v>18753.805519999998</v>
      </c>
      <c r="I201" s="15">
        <v>3.3781384000000001</v>
      </c>
      <c r="J201" s="15">
        <f t="shared" si="20"/>
        <v>28119.6240416</v>
      </c>
      <c r="K201" s="15">
        <f t="shared" si="21"/>
        <v>46873.429561600002</v>
      </c>
      <c r="L201" s="43"/>
    </row>
    <row r="202" spans="2:12" ht="25.5" x14ac:dyDescent="0.2">
      <c r="B202" s="71">
        <f>IF(F202&lt;&gt;"",1+MAX($B$22:B201),"")</f>
        <v>98</v>
      </c>
      <c r="C202" s="46"/>
      <c r="D202" s="8" t="s">
        <v>385</v>
      </c>
      <c r="E202" s="21" t="s">
        <v>44</v>
      </c>
      <c r="F202" s="34">
        <v>3238</v>
      </c>
      <c r="G202" s="15">
        <v>3.9471499999999993</v>
      </c>
      <c r="H202" s="15">
        <f t="shared" si="19"/>
        <v>12780.871699999998</v>
      </c>
      <c r="I202" s="15">
        <v>3.6797579000000002</v>
      </c>
      <c r="J202" s="15">
        <f t="shared" si="20"/>
        <v>11915.0560802</v>
      </c>
      <c r="K202" s="15">
        <f t="shared" si="21"/>
        <v>24695.9277802</v>
      </c>
      <c r="L202" s="43"/>
    </row>
    <row r="203" spans="2:12" x14ac:dyDescent="0.2">
      <c r="B203" s="71">
        <f>IF(F203&lt;&gt;"",1+MAX($B$22:B202),"")</f>
        <v>99</v>
      </c>
      <c r="C203" s="46"/>
      <c r="D203" s="63" t="s">
        <v>386</v>
      </c>
      <c r="E203" s="21" t="s">
        <v>44</v>
      </c>
      <c r="F203" s="34">
        <v>12444</v>
      </c>
      <c r="G203" s="15">
        <v>0.44350000000000001</v>
      </c>
      <c r="H203" s="15">
        <f t="shared" si="19"/>
        <v>5518.9139999999998</v>
      </c>
      <c r="I203" s="15">
        <v>0.31972304000000001</v>
      </c>
      <c r="J203" s="15">
        <f t="shared" si="20"/>
        <v>3978.6335097600004</v>
      </c>
      <c r="K203" s="15">
        <f t="shared" si="21"/>
        <v>9497.5475097599992</v>
      </c>
      <c r="L203" s="43"/>
    </row>
    <row r="204" spans="2:12" x14ac:dyDescent="0.2">
      <c r="B204" s="71">
        <f>IF(F204&lt;&gt;"",1+MAX($B$22:B203),"")</f>
        <v>100</v>
      </c>
      <c r="C204" s="46"/>
      <c r="D204" s="63" t="s">
        <v>387</v>
      </c>
      <c r="E204" s="21" t="s">
        <v>86</v>
      </c>
      <c r="F204" s="34">
        <f>3238/1*4*0.668*1.1</f>
        <v>9517.1296000000002</v>
      </c>
      <c r="G204" s="15">
        <v>0.66525000000000001</v>
      </c>
      <c r="H204" s="15">
        <f t="shared" si="19"/>
        <v>6331.2704664000003</v>
      </c>
      <c r="I204" s="15">
        <v>0.49838879999999997</v>
      </c>
      <c r="J204" s="15">
        <f t="shared" si="20"/>
        <v>4743.2308007884794</v>
      </c>
      <c r="K204" s="15">
        <f t="shared" si="21"/>
        <v>11074.50126718848</v>
      </c>
      <c r="L204" s="43"/>
    </row>
    <row r="205" spans="2:12" x14ac:dyDescent="0.2">
      <c r="B205" s="71">
        <f>IF(F205&lt;&gt;"",1+MAX($B$22:B204),"")</f>
        <v>101</v>
      </c>
      <c r="C205" s="46"/>
      <c r="D205" s="63" t="s">
        <v>390</v>
      </c>
      <c r="E205" s="21" t="s">
        <v>46</v>
      </c>
      <c r="F205" s="34">
        <v>2472</v>
      </c>
      <c r="G205" s="15">
        <v>0.86038999999999999</v>
      </c>
      <c r="H205" s="15">
        <f t="shared" si="19"/>
        <v>2126.8840799999998</v>
      </c>
      <c r="I205" s="15">
        <v>1.0727080000000002</v>
      </c>
      <c r="J205" s="15">
        <f t="shared" si="20"/>
        <v>2651.7341760000004</v>
      </c>
      <c r="K205" s="15">
        <f t="shared" si="21"/>
        <v>4778.6182559999997</v>
      </c>
      <c r="L205" s="43"/>
    </row>
    <row r="206" spans="2:12" x14ac:dyDescent="0.2">
      <c r="B206" s="42" t="str">
        <f>IF(F206&lt;&gt;"",1+MAX($B$22:B205),"")</f>
        <v/>
      </c>
      <c r="C206" s="46"/>
      <c r="D206" s="8"/>
      <c r="E206" s="21"/>
      <c r="F206" s="34"/>
      <c r="G206" s="15"/>
      <c r="H206" s="15"/>
      <c r="I206" s="15"/>
      <c r="J206" s="15"/>
      <c r="K206" s="15"/>
      <c r="L206" s="43"/>
    </row>
    <row r="207" spans="2:12" x14ac:dyDescent="0.2">
      <c r="B207" s="42" t="str">
        <f>IF(F207&lt;&gt;"",1+MAX($B$22:B206),"")</f>
        <v/>
      </c>
      <c r="C207" s="46"/>
      <c r="D207" s="44" t="s">
        <v>388</v>
      </c>
      <c r="E207" s="21"/>
      <c r="F207" s="34"/>
      <c r="G207" s="15"/>
      <c r="H207" s="15"/>
      <c r="I207" s="15"/>
      <c r="J207" s="15"/>
      <c r="K207" s="15"/>
      <c r="L207" s="43"/>
    </row>
    <row r="208" spans="2:12" x14ac:dyDescent="0.2">
      <c r="B208" s="71">
        <f>IF(F208&lt;&gt;"",1+MAX($B$22:B207),"")</f>
        <v>102</v>
      </c>
      <c r="C208" s="46"/>
      <c r="D208" s="8" t="s">
        <v>389</v>
      </c>
      <c r="E208" s="21" t="s">
        <v>44</v>
      </c>
      <c r="F208" s="34">
        <v>35518</v>
      </c>
      <c r="G208" s="15">
        <v>1.27728</v>
      </c>
      <c r="H208" s="15">
        <f t="shared" ref="H208:H209" si="22">F208*G208</f>
        <v>45366.431039999996</v>
      </c>
      <c r="I208" s="15">
        <v>3.0765188999999999</v>
      </c>
      <c r="J208" s="15">
        <f t="shared" ref="J208:J209" si="23">F208*I208</f>
        <v>109271.79829019999</v>
      </c>
      <c r="K208" s="15">
        <f t="shared" ref="K208:K209" si="24">H208+J208</f>
        <v>154638.2293302</v>
      </c>
      <c r="L208" s="43"/>
    </row>
    <row r="209" spans="2:12" x14ac:dyDescent="0.2">
      <c r="B209" s="71">
        <f>IF(F209&lt;&gt;"",1+MAX($B$22:B208),"")</f>
        <v>103</v>
      </c>
      <c r="C209" s="46"/>
      <c r="D209" s="63" t="s">
        <v>386</v>
      </c>
      <c r="E209" s="21" t="s">
        <v>44</v>
      </c>
      <c r="F209" s="34">
        <v>35518</v>
      </c>
      <c r="G209" s="15">
        <v>0.44350000000000001</v>
      </c>
      <c r="H209" s="15">
        <f t="shared" si="22"/>
        <v>15752.233</v>
      </c>
      <c r="I209" s="15">
        <v>0.31972304000000001</v>
      </c>
      <c r="J209" s="15">
        <f t="shared" si="23"/>
        <v>11355.92293472</v>
      </c>
      <c r="K209" s="15">
        <f t="shared" si="24"/>
        <v>27108.155934720002</v>
      </c>
      <c r="L209" s="43"/>
    </row>
    <row r="210" spans="2:12" x14ac:dyDescent="0.2">
      <c r="B210" s="42" t="str">
        <f>IF(F210&lt;&gt;"",1+MAX($B$22:B209),"")</f>
        <v/>
      </c>
      <c r="C210" s="46"/>
      <c r="D210" s="8"/>
      <c r="E210" s="21"/>
      <c r="F210" s="34"/>
      <c r="G210" s="15"/>
      <c r="H210" s="15"/>
      <c r="I210" s="15"/>
      <c r="J210" s="15"/>
      <c r="K210" s="15"/>
      <c r="L210" s="43"/>
    </row>
    <row r="211" spans="2:12" x14ac:dyDescent="0.2">
      <c r="B211" s="42" t="str">
        <f>IF(F211&lt;&gt;"",1+MAX($B$22:B210),"")</f>
        <v/>
      </c>
      <c r="C211" s="46"/>
      <c r="D211" s="44" t="s">
        <v>391</v>
      </c>
      <c r="E211" s="21"/>
      <c r="F211" s="34"/>
      <c r="G211" s="15"/>
      <c r="H211" s="15"/>
      <c r="I211" s="15"/>
      <c r="J211" s="15"/>
      <c r="K211" s="15"/>
      <c r="L211" s="43"/>
    </row>
    <row r="212" spans="2:12" x14ac:dyDescent="0.2">
      <c r="B212" s="71">
        <f>IF(F212&lt;&gt;"",1+MAX($B$22:B211),"")</f>
        <v>104</v>
      </c>
      <c r="C212" s="46"/>
      <c r="D212" s="8" t="s">
        <v>392</v>
      </c>
      <c r="E212" s="21" t="s">
        <v>45</v>
      </c>
      <c r="F212" s="61">
        <f>567*2*1/27</f>
        <v>42</v>
      </c>
      <c r="G212" s="15">
        <v>206.22749999999999</v>
      </c>
      <c r="H212" s="15">
        <f t="shared" ref="H212" si="25">F212*G212</f>
        <v>8661.5550000000003</v>
      </c>
      <c r="I212" s="15">
        <v>332.51400000000024</v>
      </c>
      <c r="J212" s="15">
        <f t="shared" ref="J212" si="26">F212*I212</f>
        <v>13965.588000000011</v>
      </c>
      <c r="K212" s="15">
        <f t="shared" ref="K212" si="27">H212+J212</f>
        <v>22627.143000000011</v>
      </c>
      <c r="L212" s="43"/>
    </row>
    <row r="213" spans="2:12" x14ac:dyDescent="0.2">
      <c r="B213" s="71">
        <f>IF(F213&lt;&gt;"",1+MAX($B$22:B212),"")</f>
        <v>105</v>
      </c>
      <c r="C213" s="46"/>
      <c r="D213" s="8" t="s">
        <v>393</v>
      </c>
      <c r="E213" s="21" t="s">
        <v>45</v>
      </c>
      <c r="F213" s="61">
        <f>168*2*1/27</f>
        <v>12.444444444444445</v>
      </c>
      <c r="G213" s="15">
        <v>206.22749999999999</v>
      </c>
      <c r="H213" s="15">
        <f t="shared" ref="H213:H216" si="28">F213*G213</f>
        <v>2566.3866666666668</v>
      </c>
      <c r="I213" s="15">
        <v>332.51400000000024</v>
      </c>
      <c r="J213" s="15">
        <f t="shared" ref="J213:J216" si="29">F213*I213</f>
        <v>4137.952000000003</v>
      </c>
      <c r="K213" s="15">
        <f t="shared" ref="K213:K216" si="30">H213+J213</f>
        <v>6704.3386666666702</v>
      </c>
      <c r="L213" s="43"/>
    </row>
    <row r="214" spans="2:12" x14ac:dyDescent="0.2">
      <c r="B214" s="71">
        <f>IF(F214&lt;&gt;"",1+MAX($B$22:B213),"")</f>
        <v>106</v>
      </c>
      <c r="C214" s="46"/>
      <c r="D214" s="8" t="s">
        <v>394</v>
      </c>
      <c r="E214" s="21" t="s">
        <v>45</v>
      </c>
      <c r="F214" s="61">
        <f>112*2.33*1/27</f>
        <v>9.6651851851851873</v>
      </c>
      <c r="G214" s="15">
        <v>206.22749999999999</v>
      </c>
      <c r="H214" s="15">
        <f t="shared" si="28"/>
        <v>1993.2269777777781</v>
      </c>
      <c r="I214" s="15">
        <v>332.51400000000024</v>
      </c>
      <c r="J214" s="15">
        <f t="shared" si="29"/>
        <v>3213.8093866666695</v>
      </c>
      <c r="K214" s="15">
        <f t="shared" si="30"/>
        <v>5207.0363644444478</v>
      </c>
      <c r="L214" s="43"/>
    </row>
    <row r="215" spans="2:12" x14ac:dyDescent="0.2">
      <c r="B215" s="71">
        <f>IF(F215&lt;&gt;"",1+MAX($B$22:B214),"")</f>
        <v>107</v>
      </c>
      <c r="C215" s="46"/>
      <c r="D215" s="8" t="s">
        <v>395</v>
      </c>
      <c r="E215" s="21" t="s">
        <v>45</v>
      </c>
      <c r="F215" s="61">
        <f>49*2.67*1/27</f>
        <v>4.8455555555555554</v>
      </c>
      <c r="G215" s="15">
        <v>206.22749999999999</v>
      </c>
      <c r="H215" s="15">
        <f t="shared" si="28"/>
        <v>999.28680833333328</v>
      </c>
      <c r="I215" s="15">
        <v>332.51400000000024</v>
      </c>
      <c r="J215" s="15">
        <f t="shared" si="29"/>
        <v>1611.2150600000011</v>
      </c>
      <c r="K215" s="15">
        <f t="shared" si="30"/>
        <v>2610.5018683333346</v>
      </c>
      <c r="L215" s="43"/>
    </row>
    <row r="216" spans="2:12" x14ac:dyDescent="0.2">
      <c r="B216" s="71">
        <f>IF(F216&lt;&gt;"",1+MAX($B$22:B215),"")</f>
        <v>108</v>
      </c>
      <c r="C216" s="46"/>
      <c r="D216" s="63" t="s">
        <v>396</v>
      </c>
      <c r="E216" s="21" t="s">
        <v>86</v>
      </c>
      <c r="F216" s="34">
        <f>(567+168+112+49)*3*1.043*1.1</f>
        <v>3083.9423999999999</v>
      </c>
      <c r="G216" s="15">
        <v>0.66525000000000001</v>
      </c>
      <c r="H216" s="15">
        <f t="shared" si="28"/>
        <v>2051.5926816000001</v>
      </c>
      <c r="I216" s="15">
        <v>0.49838879999999997</v>
      </c>
      <c r="J216" s="15">
        <f t="shared" si="29"/>
        <v>1537.0023520051197</v>
      </c>
      <c r="K216" s="15">
        <f t="shared" si="30"/>
        <v>3588.5950336051201</v>
      </c>
      <c r="L216" s="43"/>
    </row>
    <row r="217" spans="2:12" x14ac:dyDescent="0.2">
      <c r="B217" s="42" t="str">
        <f>IF(F217&lt;&gt;"",1+MAX($B$22:B216),"")</f>
        <v/>
      </c>
      <c r="C217" s="46"/>
      <c r="D217" s="8"/>
      <c r="E217" s="21"/>
      <c r="F217" s="34"/>
      <c r="G217" s="15"/>
      <c r="H217" s="15"/>
      <c r="I217" s="15"/>
      <c r="J217" s="15"/>
      <c r="K217" s="15"/>
      <c r="L217" s="43"/>
    </row>
    <row r="218" spans="2:12" x14ac:dyDescent="0.2">
      <c r="B218" s="42" t="str">
        <f>IF(F218&lt;&gt;"",1+MAX($B$22:B217),"")</f>
        <v/>
      </c>
      <c r="C218" s="46"/>
      <c r="D218" s="44" t="s">
        <v>397</v>
      </c>
      <c r="E218" s="21"/>
      <c r="F218" s="34"/>
      <c r="G218" s="15"/>
      <c r="H218" s="15"/>
      <c r="I218" s="15"/>
      <c r="J218" s="15"/>
      <c r="K218" s="15"/>
      <c r="L218" s="43"/>
    </row>
    <row r="219" spans="2:12" ht="38.25" x14ac:dyDescent="0.2">
      <c r="B219" s="71">
        <f>IF(F219&lt;&gt;"",1+MAX($B$22:B218),"")</f>
        <v>109</v>
      </c>
      <c r="C219" s="46"/>
      <c r="D219" s="8" t="s">
        <v>398</v>
      </c>
      <c r="E219" s="21" t="s">
        <v>45</v>
      </c>
      <c r="F219" s="61">
        <f>3.5*3.5*1*10/27</f>
        <v>4.5370370370370372</v>
      </c>
      <c r="G219" s="15">
        <v>202.38235500000002</v>
      </c>
      <c r="H219" s="15">
        <f t="shared" ref="H219:H225" si="31">F219*G219</f>
        <v>918.21624027777784</v>
      </c>
      <c r="I219" s="15">
        <v>384.02747019000003</v>
      </c>
      <c r="J219" s="15">
        <f t="shared" ref="J219:J225" si="32">F219*I219</f>
        <v>1742.3468554916669</v>
      </c>
      <c r="K219" s="15">
        <f t="shared" ref="K219:K225" si="33">H219+J219</f>
        <v>2660.5630957694448</v>
      </c>
      <c r="L219" s="43"/>
    </row>
    <row r="220" spans="2:12" ht="38.25" x14ac:dyDescent="0.2">
      <c r="B220" s="71">
        <f>IF(F220&lt;&gt;"",1+MAX($B$22:B219),"")</f>
        <v>110</v>
      </c>
      <c r="C220" s="46"/>
      <c r="D220" s="8" t="s">
        <v>399</v>
      </c>
      <c r="E220" s="21" t="s">
        <v>45</v>
      </c>
      <c r="F220" s="61">
        <f>4.5*4.5*1*14/27</f>
        <v>10.5</v>
      </c>
      <c r="G220" s="15">
        <v>202.38235500000002</v>
      </c>
      <c r="H220" s="15">
        <f t="shared" si="31"/>
        <v>2125.0147275000004</v>
      </c>
      <c r="I220" s="15">
        <v>384.02747019000003</v>
      </c>
      <c r="J220" s="15">
        <f t="shared" si="32"/>
        <v>4032.2884369950002</v>
      </c>
      <c r="K220" s="15">
        <f t="shared" si="33"/>
        <v>6157.3031644950006</v>
      </c>
      <c r="L220" s="43"/>
    </row>
    <row r="221" spans="2:12" ht="38.25" x14ac:dyDescent="0.2">
      <c r="B221" s="71">
        <f>IF(F221&lt;&gt;"",1+MAX($B$22:B220),"")</f>
        <v>111</v>
      </c>
      <c r="C221" s="46"/>
      <c r="D221" s="8" t="s">
        <v>401</v>
      </c>
      <c r="E221" s="21" t="s">
        <v>45</v>
      </c>
      <c r="F221" s="61">
        <f>5*5*1*2/27</f>
        <v>1.8518518518518519</v>
      </c>
      <c r="G221" s="15">
        <v>202.38235500000002</v>
      </c>
      <c r="H221" s="15">
        <f t="shared" si="31"/>
        <v>374.78213888888894</v>
      </c>
      <c r="I221" s="15">
        <v>384.02747019000003</v>
      </c>
      <c r="J221" s="15">
        <f t="shared" si="32"/>
        <v>711.16198183333336</v>
      </c>
      <c r="K221" s="15">
        <f t="shared" si="33"/>
        <v>1085.9441207222224</v>
      </c>
      <c r="L221" s="43"/>
    </row>
    <row r="222" spans="2:12" ht="38.25" x14ac:dyDescent="0.2">
      <c r="B222" s="71">
        <f>IF(F222&lt;&gt;"",1+MAX($B$22:B221),"")</f>
        <v>112</v>
      </c>
      <c r="C222" s="46"/>
      <c r="D222" s="8" t="s">
        <v>400</v>
      </c>
      <c r="E222" s="21" t="s">
        <v>45</v>
      </c>
      <c r="F222" s="61">
        <f>6*6*1.5*1/27</f>
        <v>2</v>
      </c>
      <c r="G222" s="15">
        <v>202.38235500000002</v>
      </c>
      <c r="H222" s="15">
        <f t="shared" si="31"/>
        <v>404.76471000000004</v>
      </c>
      <c r="I222" s="15">
        <v>384.02747019000003</v>
      </c>
      <c r="J222" s="15">
        <f t="shared" si="32"/>
        <v>768.05494038000006</v>
      </c>
      <c r="K222" s="15">
        <f t="shared" si="33"/>
        <v>1172.81965038</v>
      </c>
      <c r="L222" s="43"/>
    </row>
    <row r="223" spans="2:12" ht="38.25" x14ac:dyDescent="0.2">
      <c r="B223" s="71">
        <f>IF(F223&lt;&gt;"",1+MAX($B$22:B222),"")</f>
        <v>113</v>
      </c>
      <c r="C223" s="46"/>
      <c r="D223" s="8" t="s">
        <v>402</v>
      </c>
      <c r="E223" s="21" t="s">
        <v>45</v>
      </c>
      <c r="F223" s="61">
        <f>(6.5*3.5)*1*3/27</f>
        <v>2.5277777777777777</v>
      </c>
      <c r="G223" s="15">
        <v>202.38235500000002</v>
      </c>
      <c r="H223" s="15">
        <f t="shared" si="31"/>
        <v>511.57761958333339</v>
      </c>
      <c r="I223" s="15">
        <v>384.02747019000003</v>
      </c>
      <c r="J223" s="15">
        <f t="shared" si="32"/>
        <v>970.73610520250008</v>
      </c>
      <c r="K223" s="15">
        <f t="shared" si="33"/>
        <v>1482.3137247858335</v>
      </c>
      <c r="L223" s="43"/>
    </row>
    <row r="224" spans="2:12" ht="38.25" x14ac:dyDescent="0.2">
      <c r="B224" s="71">
        <f>IF(F224&lt;&gt;"",1+MAX($B$22:B223),"")</f>
        <v>114</v>
      </c>
      <c r="C224" s="46"/>
      <c r="D224" s="8" t="s">
        <v>403</v>
      </c>
      <c r="E224" s="21" t="s">
        <v>45</v>
      </c>
      <c r="F224" s="61">
        <f>(8*5*2)*1/27</f>
        <v>2.9629629629629628</v>
      </c>
      <c r="G224" s="15">
        <v>202.38235500000002</v>
      </c>
      <c r="H224" s="15">
        <f t="shared" si="31"/>
        <v>599.65142222222221</v>
      </c>
      <c r="I224" s="15">
        <v>384.02747019000003</v>
      </c>
      <c r="J224" s="15">
        <f t="shared" si="32"/>
        <v>1137.8591709333334</v>
      </c>
      <c r="K224" s="15">
        <f t="shared" si="33"/>
        <v>1737.5105931555556</v>
      </c>
      <c r="L224" s="43"/>
    </row>
    <row r="225" spans="2:12" x14ac:dyDescent="0.2">
      <c r="B225" s="71">
        <f>IF(F225&lt;&gt;"",1+MAX($B$22:B224),"")</f>
        <v>115</v>
      </c>
      <c r="C225" s="46"/>
      <c r="D225" s="63" t="s">
        <v>396</v>
      </c>
      <c r="E225" s="21" t="s">
        <v>86</v>
      </c>
      <c r="F225" s="34">
        <f>((3.5*46)*10+(4.5*4*7)*14+(5*4*8)*2+(10*3.5+6*6.5)*3+(8*12+8*5)*1)*1.043*1.1</f>
        <v>4648.8596000000007</v>
      </c>
      <c r="G225" s="15">
        <v>0.66525000000000001</v>
      </c>
      <c r="H225" s="15">
        <f t="shared" si="31"/>
        <v>3092.6538489000004</v>
      </c>
      <c r="I225" s="15">
        <v>0.49838879999999997</v>
      </c>
      <c r="J225" s="15">
        <f t="shared" si="32"/>
        <v>2316.9395574124801</v>
      </c>
      <c r="K225" s="15">
        <f t="shared" si="33"/>
        <v>5409.5934063124805</v>
      </c>
      <c r="L225" s="43"/>
    </row>
    <row r="226" spans="2:12" x14ac:dyDescent="0.2">
      <c r="B226" s="42" t="str">
        <f>IF(F226&lt;&gt;"",1+MAX($B$22:B225),"")</f>
        <v/>
      </c>
      <c r="C226" s="46"/>
      <c r="D226" s="8"/>
      <c r="E226" s="21"/>
      <c r="F226" s="34"/>
      <c r="G226" s="15"/>
      <c r="H226" s="15"/>
      <c r="I226" s="15"/>
      <c r="J226" s="15"/>
      <c r="K226" s="15"/>
      <c r="L226" s="43"/>
    </row>
    <row r="227" spans="2:12" x14ac:dyDescent="0.2">
      <c r="B227" s="42" t="str">
        <f>IF(F227&lt;&gt;"",1+MAX($B$22:B226),"")</f>
        <v/>
      </c>
      <c r="C227" s="46"/>
      <c r="D227" s="44" t="s">
        <v>231</v>
      </c>
      <c r="E227" s="21"/>
      <c r="F227" s="34"/>
      <c r="G227" s="15"/>
      <c r="H227" s="15"/>
      <c r="I227" s="15"/>
      <c r="J227" s="15"/>
      <c r="K227" s="15"/>
      <c r="L227" s="43"/>
    </row>
    <row r="228" spans="2:12" x14ac:dyDescent="0.2">
      <c r="B228" s="71">
        <f>IF(F228&lt;&gt;"",1+MAX($B$22:B227),"")</f>
        <v>116</v>
      </c>
      <c r="C228" s="46"/>
      <c r="D228" s="8" t="s">
        <v>404</v>
      </c>
      <c r="E228" s="21" t="s">
        <v>45</v>
      </c>
      <c r="F228" s="61">
        <f>(243*2.5+416*3.5)*0.67/27</f>
        <v>51.205370370370375</v>
      </c>
      <c r="G228" s="15">
        <v>243.48150000000001</v>
      </c>
      <c r="H228" s="15">
        <f t="shared" ref="H228:H230" si="34">F228*G228</f>
        <v>12467.560385833334</v>
      </c>
      <c r="I228" s="15">
        <v>315.29409748200004</v>
      </c>
      <c r="J228" s="15">
        <f t="shared" ref="J228:J230" si="35">F228*I228</f>
        <v>16144.751037157474</v>
      </c>
      <c r="K228" s="15">
        <f t="shared" ref="K228:K230" si="36">H228+J228</f>
        <v>28612.31142299081</v>
      </c>
      <c r="L228" s="43"/>
    </row>
    <row r="229" spans="2:12" x14ac:dyDescent="0.2">
      <c r="B229" s="71">
        <f>IF(F229&lt;&gt;"",1+MAX($B$22:B228),"")</f>
        <v>117</v>
      </c>
      <c r="C229" s="46"/>
      <c r="D229" s="8" t="s">
        <v>405</v>
      </c>
      <c r="E229" s="21" t="s">
        <v>45</v>
      </c>
      <c r="F229" s="61">
        <f>(114*2.83)*1/27</f>
        <v>11.94888888888889</v>
      </c>
      <c r="G229" s="15">
        <v>243.48150000000001</v>
      </c>
      <c r="H229" s="15">
        <f t="shared" si="34"/>
        <v>2909.3333900000002</v>
      </c>
      <c r="I229" s="15">
        <v>315.29409748200004</v>
      </c>
      <c r="J229" s="15">
        <f t="shared" si="35"/>
        <v>3767.4141381349209</v>
      </c>
      <c r="K229" s="15">
        <f t="shared" si="36"/>
        <v>6676.7475281349216</v>
      </c>
      <c r="L229" s="43"/>
    </row>
    <row r="230" spans="2:12" x14ac:dyDescent="0.2">
      <c r="B230" s="71">
        <f>IF(F230&lt;&gt;"",1+MAX($B$22:B229),"")</f>
        <v>118</v>
      </c>
      <c r="C230" s="46"/>
      <c r="D230" s="8" t="s">
        <v>406</v>
      </c>
      <c r="E230" s="21" t="s">
        <v>45</v>
      </c>
      <c r="F230" s="61">
        <f>(64*3.5)*1.33/27</f>
        <v>11.034074074074075</v>
      </c>
      <c r="G230" s="15">
        <v>243.48150000000001</v>
      </c>
      <c r="H230" s="15">
        <f t="shared" si="34"/>
        <v>2686.5929066666672</v>
      </c>
      <c r="I230" s="15">
        <v>315.29409748200004</v>
      </c>
      <c r="J230" s="15">
        <f t="shared" si="35"/>
        <v>3478.9784267347209</v>
      </c>
      <c r="K230" s="15">
        <f t="shared" si="36"/>
        <v>6165.5713334013881</v>
      </c>
      <c r="L230" s="43"/>
    </row>
    <row r="231" spans="2:12" x14ac:dyDescent="0.2">
      <c r="B231" s="71">
        <f>IF(F231&lt;&gt;"",1+MAX($B$22:B230),"")</f>
        <v>119</v>
      </c>
      <c r="C231" s="46"/>
      <c r="D231" s="63" t="s">
        <v>387</v>
      </c>
      <c r="E231" s="21" t="s">
        <v>86</v>
      </c>
      <c r="F231" s="34">
        <f>2610/1*4*0.668*1.1</f>
        <v>7671.3120000000008</v>
      </c>
      <c r="G231" s="15">
        <v>0.66525000000000001</v>
      </c>
      <c r="H231" s="15">
        <f t="shared" ref="H231" si="37">F231*G231</f>
        <v>5103.3403080000007</v>
      </c>
      <c r="I231" s="15">
        <v>0.49838879999999997</v>
      </c>
      <c r="J231" s="15">
        <f t="shared" ref="J231" si="38">F231*I231</f>
        <v>3823.2959821056002</v>
      </c>
      <c r="K231" s="15">
        <f t="shared" ref="K231" si="39">H231+J231</f>
        <v>8926.6362901056018</v>
      </c>
      <c r="L231" s="43"/>
    </row>
    <row r="232" spans="2:12" x14ac:dyDescent="0.2">
      <c r="B232" s="42" t="str">
        <f>IF(F232&lt;&gt;"",1+MAX($B$22:B231),"")</f>
        <v/>
      </c>
      <c r="C232" s="46"/>
      <c r="D232" s="8"/>
      <c r="E232" s="21"/>
      <c r="F232" s="34"/>
      <c r="G232" s="15"/>
      <c r="H232" s="15"/>
      <c r="I232" s="15"/>
      <c r="J232" s="15"/>
      <c r="K232" s="15"/>
      <c r="L232" s="43"/>
    </row>
    <row r="233" spans="2:12" x14ac:dyDescent="0.2">
      <c r="B233" s="42" t="str">
        <f>IF(F233&lt;&gt;"",1+MAX($B$22:B232),"")</f>
        <v/>
      </c>
      <c r="C233" s="46"/>
      <c r="D233" s="44" t="s">
        <v>407</v>
      </c>
      <c r="E233" s="21"/>
      <c r="F233" s="34"/>
      <c r="G233" s="15"/>
      <c r="H233" s="15"/>
      <c r="I233" s="15"/>
      <c r="J233" s="15"/>
      <c r="K233" s="15"/>
      <c r="L233" s="43"/>
    </row>
    <row r="234" spans="2:12" x14ac:dyDescent="0.2">
      <c r="B234" s="71">
        <f>IF(F234&lt;&gt;"",1+MAX($B$22:B233),"")</f>
        <v>120</v>
      </c>
      <c r="C234" s="46"/>
      <c r="D234" s="8" t="s">
        <v>408</v>
      </c>
      <c r="E234" s="21" t="s">
        <v>44</v>
      </c>
      <c r="F234" s="61">
        <v>1112</v>
      </c>
      <c r="G234" s="15">
        <v>2.2973300000000001</v>
      </c>
      <c r="H234" s="15">
        <f t="shared" ref="H234" si="40">F234*G234</f>
        <v>2554.63096</v>
      </c>
      <c r="I234" s="15">
        <v>4.4036447000000001</v>
      </c>
      <c r="J234" s="15">
        <f t="shared" ref="J234" si="41">F234*I234</f>
        <v>4896.8529064000004</v>
      </c>
      <c r="K234" s="15">
        <f t="shared" ref="K234" si="42">H234+J234</f>
        <v>7451.4838663999999</v>
      </c>
      <c r="L234" s="43"/>
    </row>
    <row r="235" spans="2:12" x14ac:dyDescent="0.2">
      <c r="B235" s="42" t="str">
        <f>IF(F235&lt;&gt;"",1+MAX($B$22:B234),"")</f>
        <v/>
      </c>
      <c r="C235" s="46"/>
      <c r="D235" s="8"/>
      <c r="E235" s="21"/>
      <c r="F235" s="61"/>
      <c r="G235" s="15"/>
      <c r="H235" s="15"/>
      <c r="I235" s="15"/>
      <c r="J235" s="15"/>
      <c r="K235" s="15"/>
      <c r="L235" s="43"/>
    </row>
    <row r="236" spans="2:12" x14ac:dyDescent="0.2">
      <c r="B236" s="42" t="str">
        <f>IF(F236&lt;&gt;"",1+MAX($B$22:B235),"")</f>
        <v/>
      </c>
      <c r="C236" s="46"/>
      <c r="D236" s="44" t="s">
        <v>225</v>
      </c>
      <c r="E236" s="21"/>
      <c r="F236" s="34"/>
      <c r="G236" s="15"/>
      <c r="H236" s="15"/>
      <c r="I236" s="15"/>
      <c r="J236" s="15"/>
      <c r="K236" s="15"/>
      <c r="L236" s="43"/>
    </row>
    <row r="237" spans="2:12" ht="38.25" x14ac:dyDescent="0.2">
      <c r="B237" s="71">
        <f>IF(F237&lt;&gt;"",1+MAX($B$22:B236),"")</f>
        <v>121</v>
      </c>
      <c r="C237" s="46"/>
      <c r="D237" s="8" t="s">
        <v>409</v>
      </c>
      <c r="E237" s="21" t="s">
        <v>45</v>
      </c>
      <c r="F237" s="61">
        <f>(1.33*1.33)*(2.5*4+3.5*31)/27</f>
        <v>7.7635055555555557</v>
      </c>
      <c r="G237" s="15">
        <v>779.14080000000013</v>
      </c>
      <c r="H237" s="15">
        <f t="shared" ref="H237" si="43">F237*G237</f>
        <v>6048.8639293600008</v>
      </c>
      <c r="I237" s="15">
        <v>402.704873298</v>
      </c>
      <c r="J237" s="15">
        <f t="shared" ref="J237" si="44">F237*I237</f>
        <v>3126.4015210983189</v>
      </c>
      <c r="K237" s="15">
        <f t="shared" ref="K237" si="45">H237+J237</f>
        <v>9175.2654504583188</v>
      </c>
      <c r="L237" s="43"/>
    </row>
    <row r="238" spans="2:12" x14ac:dyDescent="0.2">
      <c r="B238" s="71">
        <f>IF(F238&lt;&gt;"",1+MAX($B$22:B237),"")</f>
        <v>122</v>
      </c>
      <c r="C238" s="46"/>
      <c r="D238" s="63" t="s">
        <v>410</v>
      </c>
      <c r="E238" s="21" t="s">
        <v>86</v>
      </c>
      <c r="F238" s="34">
        <f>(4*2.5*4+4*3.5*31)*2.67*1.1</f>
        <v>1392.1379999999999</v>
      </c>
      <c r="G238" s="15">
        <v>0.61202999999999996</v>
      </c>
      <c r="H238" s="15">
        <f t="shared" ref="H238" si="46">F238*G238</f>
        <v>852.03022013999987</v>
      </c>
      <c r="I238" s="15">
        <v>0.39871103999999996</v>
      </c>
      <c r="J238" s="15">
        <f t="shared" ref="J238" si="47">F238*I238</f>
        <v>555.06078980351992</v>
      </c>
      <c r="K238" s="15">
        <f t="shared" ref="K238" si="48">H238+J238</f>
        <v>1407.0910099435198</v>
      </c>
      <c r="L238" s="43"/>
    </row>
    <row r="239" spans="2:12" x14ac:dyDescent="0.2">
      <c r="B239" s="71">
        <f>IF(F239&lt;&gt;"",1+MAX($B$22:B238),"")</f>
        <v>123</v>
      </c>
      <c r="C239" s="46"/>
      <c r="D239" s="63" t="s">
        <v>387</v>
      </c>
      <c r="E239" s="21" t="s">
        <v>86</v>
      </c>
      <c r="F239" s="34">
        <f>(2.5*4+3.5*31)/1*(1.33*4)*0.668*1.1</f>
        <v>463.23261600000012</v>
      </c>
      <c r="G239" s="15">
        <v>0.66525000000000001</v>
      </c>
      <c r="H239" s="15">
        <f t="shared" ref="H239" si="49">F239*G239</f>
        <v>308.16549779400009</v>
      </c>
      <c r="I239" s="15">
        <v>0.49838879999999997</v>
      </c>
      <c r="J239" s="15">
        <f t="shared" ref="J239" si="50">F239*I239</f>
        <v>230.86994760910085</v>
      </c>
      <c r="K239" s="15">
        <f t="shared" ref="K239" si="51">H239+J239</f>
        <v>539.03544540310099</v>
      </c>
      <c r="L239" s="43"/>
    </row>
    <row r="240" spans="2:12" x14ac:dyDescent="0.2">
      <c r="B240" s="42" t="str">
        <f>IF(F240&lt;&gt;"",1+MAX($B$22:B239),"")</f>
        <v/>
      </c>
      <c r="C240" s="46"/>
      <c r="D240" s="8"/>
      <c r="E240" s="21"/>
      <c r="F240" s="34"/>
      <c r="G240" s="15"/>
      <c r="H240" s="15"/>
      <c r="I240" s="15"/>
      <c r="J240" s="15"/>
      <c r="K240" s="15"/>
      <c r="L240" s="43"/>
    </row>
    <row r="241" spans="2:28" x14ac:dyDescent="0.2">
      <c r="B241" s="42" t="str">
        <f>IF(F241&lt;&gt;"",1+MAX($B$22:B240),"")</f>
        <v/>
      </c>
      <c r="C241" s="46"/>
      <c r="D241" s="44" t="s">
        <v>115</v>
      </c>
      <c r="E241" s="21"/>
      <c r="F241" s="34"/>
      <c r="G241" s="15"/>
      <c r="H241" s="15"/>
      <c r="I241" s="15"/>
      <c r="J241" s="15"/>
      <c r="K241" s="15"/>
      <c r="L241" s="43"/>
    </row>
    <row r="242" spans="2:28" x14ac:dyDescent="0.2">
      <c r="B242" s="71">
        <f>IF(F242&lt;&gt;"",1+MAX($B$22:B241),"")</f>
        <v>124</v>
      </c>
      <c r="C242" s="46"/>
      <c r="D242" s="8" t="s">
        <v>116</v>
      </c>
      <c r="E242" s="21" t="s">
        <v>44</v>
      </c>
      <c r="F242" s="34">
        <f>2610*2+630+496</f>
        <v>6346</v>
      </c>
      <c r="G242" s="15">
        <v>1.774</v>
      </c>
      <c r="H242" s="15">
        <f t="shared" ref="H242" si="52">F242*G242</f>
        <v>11257.804</v>
      </c>
      <c r="I242" s="15">
        <v>2.5053846999999996</v>
      </c>
      <c r="J242" s="15">
        <f t="shared" ref="J242" si="53">F242*I242</f>
        <v>15899.171306199998</v>
      </c>
      <c r="K242" s="15">
        <f t="shared" ref="K242" si="54">H242+J242</f>
        <v>27156.975306199998</v>
      </c>
      <c r="L242" s="43"/>
    </row>
    <row r="243" spans="2:28" x14ac:dyDescent="0.2">
      <c r="B243" s="42" t="str">
        <f>IF(F243&lt;&gt;"",1+MAX($B$22:B242),"")</f>
        <v/>
      </c>
      <c r="C243" s="46"/>
      <c r="D243" s="8"/>
      <c r="E243" s="21"/>
      <c r="F243" s="34"/>
      <c r="G243" s="15"/>
      <c r="H243" s="15"/>
      <c r="I243" s="15"/>
      <c r="J243" s="15"/>
      <c r="K243" s="15"/>
      <c r="L243" s="43"/>
    </row>
    <row r="244" spans="2:28" ht="18.75" x14ac:dyDescent="0.2">
      <c r="B244" s="126" t="s">
        <v>76</v>
      </c>
      <c r="C244" s="126"/>
      <c r="D244" s="126"/>
      <c r="E244" s="126"/>
      <c r="F244" s="126"/>
      <c r="G244" s="126"/>
      <c r="H244" s="126"/>
      <c r="I244" s="126"/>
      <c r="J244" s="126"/>
      <c r="K244" s="126"/>
      <c r="L244" s="126"/>
      <c r="M244" s="11"/>
    </row>
    <row r="245" spans="2:28" ht="12.75" customHeight="1" x14ac:dyDescent="0.2">
      <c r="B245" s="116" t="s">
        <v>5</v>
      </c>
      <c r="C245" s="116" t="s">
        <v>31</v>
      </c>
      <c r="D245" s="114" t="s">
        <v>1</v>
      </c>
      <c r="E245" s="116" t="s">
        <v>6</v>
      </c>
      <c r="F245" s="114" t="s">
        <v>13</v>
      </c>
      <c r="G245" s="114" t="s">
        <v>12</v>
      </c>
      <c r="H245" s="117"/>
      <c r="I245" s="121" t="s">
        <v>11</v>
      </c>
      <c r="J245" s="121"/>
      <c r="K245" s="119" t="s">
        <v>4</v>
      </c>
      <c r="L245" s="119" t="s">
        <v>74</v>
      </c>
      <c r="M245" s="11"/>
    </row>
    <row r="246" spans="2:28" ht="27.75" customHeight="1" x14ac:dyDescent="0.2">
      <c r="B246" s="116"/>
      <c r="C246" s="116"/>
      <c r="D246" s="114"/>
      <c r="E246" s="116"/>
      <c r="F246" s="114"/>
      <c r="G246" s="56" t="s">
        <v>10</v>
      </c>
      <c r="H246" s="56" t="s">
        <v>9</v>
      </c>
      <c r="I246" s="55" t="s">
        <v>10</v>
      </c>
      <c r="J246" s="56" t="s">
        <v>9</v>
      </c>
      <c r="K246" s="119"/>
      <c r="L246" s="119"/>
      <c r="M246" s="11"/>
    </row>
    <row r="247" spans="2:28" s="11" customFormat="1" x14ac:dyDescent="0.2">
      <c r="B247" s="54" t="str">
        <f>IF(F247&lt;&gt;"",1+MAX($B$2:B246),"")</f>
        <v/>
      </c>
      <c r="C247" s="25"/>
      <c r="D247" s="26"/>
      <c r="E247" s="22"/>
      <c r="F247" s="27"/>
      <c r="G247" s="28"/>
      <c r="H247" s="29"/>
      <c r="I247" s="28"/>
      <c r="J247" s="29"/>
      <c r="K247" s="30"/>
      <c r="L247" s="4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</row>
    <row r="248" spans="2:28" s="11" customFormat="1" ht="12.75" customHeight="1" x14ac:dyDescent="0.2">
      <c r="B248" s="12" t="str">
        <f>IF(F248&lt;&gt;"",1+MAX($B$2:B158),"")</f>
        <v/>
      </c>
      <c r="C248" s="12" t="s">
        <v>75</v>
      </c>
      <c r="D248" s="6" t="s">
        <v>372</v>
      </c>
      <c r="E248" s="113" t="s">
        <v>34</v>
      </c>
      <c r="F248" s="113"/>
      <c r="G248" s="45">
        <f>SUM(H249:H290)</f>
        <v>21769.783161846462</v>
      </c>
      <c r="H248" s="7">
        <f t="shared" ref="H248:H290" si="55">F248*G248</f>
        <v>0</v>
      </c>
      <c r="I248" s="45">
        <f>SUM(J249:J290)</f>
        <v>29829.129843422637</v>
      </c>
      <c r="J248" s="7">
        <f t="shared" ref="J248:J290" si="56">F248*I248</f>
        <v>0</v>
      </c>
      <c r="K248" s="41">
        <f>SUM(K249:K290)</f>
        <v>51598.913005269089</v>
      </c>
      <c r="L248" s="41">
        <f>(K248)+(G248*$K$8)+(I248*$K$9)+(K248*$K$10)+($K$11*((K248)+(G248*$K$8)+(I248*$K$9)+(K248*$K$10)))+(K248*$K$12)</f>
        <v>72798.954652578366</v>
      </c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</row>
    <row r="249" spans="2:28" x14ac:dyDescent="0.2">
      <c r="B249" s="42" t="str">
        <f>IF(F249&lt;&gt;"",1+MAX($B$2:B248),"")</f>
        <v/>
      </c>
      <c r="C249" s="46"/>
      <c r="D249" s="8"/>
      <c r="E249" s="21"/>
      <c r="F249" s="24"/>
      <c r="G249" s="15">
        <v>0</v>
      </c>
      <c r="H249" s="15">
        <f t="shared" si="55"/>
        <v>0</v>
      </c>
      <c r="I249" s="15">
        <v>0</v>
      </c>
      <c r="J249" s="15">
        <f t="shared" si="56"/>
        <v>0</v>
      </c>
      <c r="K249" s="15">
        <f t="shared" ref="K249:K290" si="57">H249+J249</f>
        <v>0</v>
      </c>
      <c r="L249" s="43"/>
      <c r="M249" s="11"/>
    </row>
    <row r="250" spans="2:28" x14ac:dyDescent="0.2">
      <c r="B250" s="57" t="str">
        <f>IF(F250&lt;&gt;"",1+MAX($B$22:B249),"")</f>
        <v/>
      </c>
      <c r="C250" s="58"/>
      <c r="D250" s="59" t="s">
        <v>64</v>
      </c>
      <c r="E250" s="21"/>
      <c r="F250" s="34"/>
      <c r="G250" s="15">
        <v>0</v>
      </c>
      <c r="H250" s="15">
        <f t="shared" si="55"/>
        <v>0</v>
      </c>
      <c r="I250" s="15">
        <v>0</v>
      </c>
      <c r="J250" s="15">
        <f t="shared" si="56"/>
        <v>0</v>
      </c>
      <c r="K250" s="15">
        <f t="shared" si="57"/>
        <v>0</v>
      </c>
      <c r="L250" s="43"/>
    </row>
    <row r="251" spans="2:28" ht="38.25" x14ac:dyDescent="0.2">
      <c r="B251" s="42">
        <f>IF(F251&lt;&gt;"",1+MAX($B$22:B250),"")</f>
        <v>125</v>
      </c>
      <c r="C251" s="112" t="s">
        <v>212</v>
      </c>
      <c r="D251" s="8" t="s">
        <v>213</v>
      </c>
      <c r="E251" s="21" t="s">
        <v>44</v>
      </c>
      <c r="F251" s="34">
        <f>1586.94</f>
        <v>1586.94</v>
      </c>
      <c r="G251" s="15">
        <v>3.2730299999999999</v>
      </c>
      <c r="H251" s="15">
        <f t="shared" si="55"/>
        <v>5194.1022282000004</v>
      </c>
      <c r="I251" s="15">
        <v>4.7052642000000002</v>
      </c>
      <c r="J251" s="15">
        <f t="shared" si="56"/>
        <v>7466.9719695480007</v>
      </c>
      <c r="K251" s="15">
        <f t="shared" si="57"/>
        <v>12661.074197748001</v>
      </c>
      <c r="L251" s="43"/>
    </row>
    <row r="252" spans="2:28" x14ac:dyDescent="0.2">
      <c r="B252" s="42" t="str">
        <f>IF(F252&lt;&gt;"",1+MAX($B$22:B251),"")</f>
        <v/>
      </c>
      <c r="C252" s="112"/>
      <c r="D252" s="8"/>
      <c r="E252" s="21"/>
      <c r="F252" s="34"/>
      <c r="G252" s="15">
        <v>0</v>
      </c>
      <c r="H252" s="15">
        <f t="shared" si="55"/>
        <v>0</v>
      </c>
      <c r="I252" s="15">
        <v>0</v>
      </c>
      <c r="J252" s="15">
        <f t="shared" si="56"/>
        <v>0</v>
      </c>
      <c r="K252" s="15">
        <f t="shared" si="57"/>
        <v>0</v>
      </c>
      <c r="L252" s="43"/>
    </row>
    <row r="253" spans="2:28" x14ac:dyDescent="0.2">
      <c r="B253" s="42" t="str">
        <f>IF(F253&lt;&gt;"",1+MAX($B$22:B252),"")</f>
        <v/>
      </c>
      <c r="C253" s="112"/>
      <c r="D253" s="44" t="s">
        <v>65</v>
      </c>
      <c r="E253" s="21"/>
      <c r="F253" s="34"/>
      <c r="G253" s="15">
        <v>0</v>
      </c>
      <c r="H253" s="15">
        <f t="shared" si="55"/>
        <v>0</v>
      </c>
      <c r="I253" s="15">
        <v>0</v>
      </c>
      <c r="J253" s="15">
        <f t="shared" si="56"/>
        <v>0</v>
      </c>
      <c r="K253" s="15">
        <f t="shared" si="57"/>
        <v>0</v>
      </c>
      <c r="L253" s="43"/>
    </row>
    <row r="254" spans="2:28" ht="25.5" x14ac:dyDescent="0.2">
      <c r="B254" s="42">
        <f>IF(F254&lt;&gt;"",1+MAX($B$22:B253),"")</f>
        <v>126</v>
      </c>
      <c r="C254" s="112"/>
      <c r="D254" s="8" t="s">
        <v>214</v>
      </c>
      <c r="E254" s="21" t="s">
        <v>45</v>
      </c>
      <c r="F254" s="61">
        <f>(26.66*0.67*0.67)/27</f>
        <v>0.4432471851851853</v>
      </c>
      <c r="G254" s="15">
        <v>206.22749999999999</v>
      </c>
      <c r="H254" s="15">
        <f t="shared" si="55"/>
        <v>91.409758882777794</v>
      </c>
      <c r="I254" s="15">
        <v>332.51400000000024</v>
      </c>
      <c r="J254" s="15">
        <f t="shared" si="56"/>
        <v>147.38589453466682</v>
      </c>
      <c r="K254" s="15">
        <f t="shared" si="57"/>
        <v>238.79565341744461</v>
      </c>
      <c r="L254" s="43"/>
    </row>
    <row r="255" spans="2:28" ht="12.75" customHeight="1" x14ac:dyDescent="0.2">
      <c r="B255" s="42">
        <f>IF(F255&lt;&gt;"",1+MAX($B$22:B254),"")</f>
        <v>127</v>
      </c>
      <c r="C255" s="112"/>
      <c r="D255" s="63" t="s">
        <v>87</v>
      </c>
      <c r="E255" s="21" t="s">
        <v>86</v>
      </c>
      <c r="F255" s="34">
        <f>26.66*0.668*1.1</f>
        <v>19.589768000000003</v>
      </c>
      <c r="G255" s="15">
        <v>0.66525000000000001</v>
      </c>
      <c r="H255" s="15">
        <f t="shared" si="55"/>
        <v>13.032093162000002</v>
      </c>
      <c r="I255" s="15">
        <v>0.49838879999999997</v>
      </c>
      <c r="J255" s="15">
        <f t="shared" si="56"/>
        <v>9.7633209657984015</v>
      </c>
      <c r="K255" s="15">
        <f t="shared" si="57"/>
        <v>22.795414127798402</v>
      </c>
      <c r="L255" s="43"/>
    </row>
    <row r="256" spans="2:28" x14ac:dyDescent="0.2">
      <c r="B256" s="42" t="str">
        <f>IF(F256&lt;&gt;"",1+MAX($B$22:B255),"")</f>
        <v/>
      </c>
      <c r="C256" s="46"/>
      <c r="D256" s="8"/>
      <c r="E256" s="21"/>
      <c r="F256" s="34"/>
      <c r="G256" s="15">
        <v>0</v>
      </c>
      <c r="H256" s="15">
        <f t="shared" si="55"/>
        <v>0</v>
      </c>
      <c r="I256" s="15">
        <v>0</v>
      </c>
      <c r="J256" s="15">
        <f t="shared" si="56"/>
        <v>0</v>
      </c>
      <c r="K256" s="15">
        <f t="shared" si="57"/>
        <v>0</v>
      </c>
      <c r="L256" s="43"/>
    </row>
    <row r="257" spans="2:12" x14ac:dyDescent="0.2">
      <c r="B257" s="42" t="str">
        <f>IF(F257&lt;&gt;"",1+MAX($B$22:B256),"")</f>
        <v/>
      </c>
      <c r="C257" s="46"/>
      <c r="D257" s="44" t="s">
        <v>215</v>
      </c>
      <c r="E257" s="21"/>
      <c r="F257" s="34"/>
      <c r="G257" s="15">
        <v>0</v>
      </c>
      <c r="H257" s="15">
        <f t="shared" si="55"/>
        <v>0</v>
      </c>
      <c r="I257" s="15">
        <v>0</v>
      </c>
      <c r="J257" s="15">
        <f t="shared" si="56"/>
        <v>0</v>
      </c>
      <c r="K257" s="15">
        <f t="shared" si="57"/>
        <v>0</v>
      </c>
      <c r="L257" s="43"/>
    </row>
    <row r="258" spans="2:12" x14ac:dyDescent="0.2">
      <c r="B258" s="42">
        <f>IF(F258&lt;&gt;"",1+MAX($B$22:B257),"")</f>
        <v>128</v>
      </c>
      <c r="C258" s="46"/>
      <c r="D258" s="8" t="s">
        <v>216</v>
      </c>
      <c r="E258" s="21" t="s">
        <v>46</v>
      </c>
      <c r="F258" s="34">
        <f>340.8</f>
        <v>340.8</v>
      </c>
      <c r="G258" s="15">
        <v>0.83377999999999997</v>
      </c>
      <c r="H258" s="15">
        <f t="shared" si="55"/>
        <v>284.15222399999999</v>
      </c>
      <c r="I258" s="15">
        <v>2.7085240000000002</v>
      </c>
      <c r="J258" s="15">
        <f t="shared" si="56"/>
        <v>923.06497920000004</v>
      </c>
      <c r="K258" s="15">
        <f t="shared" si="57"/>
        <v>1207.2172032000001</v>
      </c>
      <c r="L258" s="43"/>
    </row>
    <row r="259" spans="2:12" x14ac:dyDescent="0.2">
      <c r="B259" s="42" t="str">
        <f>IF(F259&lt;&gt;"",1+MAX($B$22:B258),"")</f>
        <v/>
      </c>
      <c r="C259" s="46"/>
      <c r="D259" s="8"/>
      <c r="E259" s="21"/>
      <c r="F259" s="34"/>
      <c r="G259" s="15">
        <v>0</v>
      </c>
      <c r="H259" s="15">
        <f t="shared" si="55"/>
        <v>0</v>
      </c>
      <c r="I259" s="15">
        <v>0</v>
      </c>
      <c r="J259" s="15">
        <f t="shared" si="56"/>
        <v>0</v>
      </c>
      <c r="K259" s="15">
        <f t="shared" si="57"/>
        <v>0</v>
      </c>
      <c r="L259" s="43"/>
    </row>
    <row r="260" spans="2:12" x14ac:dyDescent="0.2">
      <c r="B260" s="57" t="str">
        <f>IF(F260&lt;&gt;"",1+MAX($B$22:B259),"")</f>
        <v/>
      </c>
      <c r="C260" s="58"/>
      <c r="D260" s="59" t="s">
        <v>51</v>
      </c>
      <c r="E260" s="21"/>
      <c r="F260" s="34"/>
      <c r="G260" s="15">
        <v>0</v>
      </c>
      <c r="H260" s="15">
        <f t="shared" si="55"/>
        <v>0</v>
      </c>
      <c r="I260" s="15">
        <v>0</v>
      </c>
      <c r="J260" s="15">
        <f t="shared" si="56"/>
        <v>0</v>
      </c>
      <c r="K260" s="15">
        <f t="shared" si="57"/>
        <v>0</v>
      </c>
      <c r="L260" s="43"/>
    </row>
    <row r="261" spans="2:12" x14ac:dyDescent="0.2">
      <c r="B261" s="42">
        <f>IF(F261&lt;&gt;"",1+MAX($B$22:B260),"")</f>
        <v>129</v>
      </c>
      <c r="C261" s="46" t="s">
        <v>212</v>
      </c>
      <c r="D261" s="8" t="s">
        <v>217</v>
      </c>
      <c r="E261" s="21" t="s">
        <v>44</v>
      </c>
      <c r="F261" s="34">
        <f>1586.94</f>
        <v>1586.94</v>
      </c>
      <c r="G261" s="15">
        <v>0.44350000000000001</v>
      </c>
      <c r="H261" s="15">
        <f t="shared" si="55"/>
        <v>703.80789000000004</v>
      </c>
      <c r="I261" s="15">
        <v>0.31972304000000001</v>
      </c>
      <c r="J261" s="15">
        <f t="shared" si="56"/>
        <v>507.38128109760004</v>
      </c>
      <c r="K261" s="15">
        <f t="shared" si="57"/>
        <v>1211.1891710976001</v>
      </c>
      <c r="L261" s="43"/>
    </row>
    <row r="262" spans="2:12" x14ac:dyDescent="0.2">
      <c r="B262" s="42" t="str">
        <f>IF(F262&lt;&gt;"",1+MAX($B$22:B261),"")</f>
        <v/>
      </c>
      <c r="C262" s="46"/>
      <c r="D262" s="8"/>
      <c r="E262" s="21"/>
      <c r="F262" s="34"/>
      <c r="G262" s="15">
        <v>0</v>
      </c>
      <c r="H262" s="15">
        <f t="shared" si="55"/>
        <v>0</v>
      </c>
      <c r="I262" s="15">
        <v>0</v>
      </c>
      <c r="J262" s="15">
        <f t="shared" si="56"/>
        <v>0</v>
      </c>
      <c r="K262" s="15">
        <f t="shared" si="57"/>
        <v>0</v>
      </c>
      <c r="L262" s="43"/>
    </row>
    <row r="263" spans="2:12" x14ac:dyDescent="0.2">
      <c r="B263" s="57" t="str">
        <f>IF(F263&lt;&gt;"",1+MAX($B$22:B262),"")</f>
        <v/>
      </c>
      <c r="C263" s="58"/>
      <c r="D263" s="59" t="s">
        <v>218</v>
      </c>
      <c r="E263" s="21"/>
      <c r="F263" s="34"/>
      <c r="G263" s="15">
        <v>0</v>
      </c>
      <c r="H263" s="15">
        <f t="shared" si="55"/>
        <v>0</v>
      </c>
      <c r="I263" s="15">
        <v>0</v>
      </c>
      <c r="J263" s="15">
        <f t="shared" si="56"/>
        <v>0</v>
      </c>
      <c r="K263" s="15">
        <f t="shared" si="57"/>
        <v>0</v>
      </c>
      <c r="L263" s="43"/>
    </row>
    <row r="264" spans="2:12" ht="51" x14ac:dyDescent="0.2">
      <c r="B264" s="42">
        <f>IF(F264&lt;&gt;"",1+MAX($B$22:B263),"")</f>
        <v>130</v>
      </c>
      <c r="C264" s="112" t="s">
        <v>212</v>
      </c>
      <c r="D264" s="8" t="s">
        <v>219</v>
      </c>
      <c r="E264" s="21" t="s">
        <v>46</v>
      </c>
      <c r="F264" s="34">
        <f>15.33</f>
        <v>15.33</v>
      </c>
      <c r="G264" s="15">
        <v>3.07789</v>
      </c>
      <c r="H264" s="15">
        <f t="shared" si="55"/>
        <v>47.1840537</v>
      </c>
      <c r="I264" s="15">
        <v>8.4087185000000009</v>
      </c>
      <c r="J264" s="15">
        <f t="shared" si="56"/>
        <v>128.90565460500002</v>
      </c>
      <c r="K264" s="15">
        <f t="shared" si="57"/>
        <v>176.08970830500002</v>
      </c>
      <c r="L264" s="43"/>
    </row>
    <row r="265" spans="2:12" ht="12.75" customHeight="1" x14ac:dyDescent="0.2">
      <c r="B265" s="42">
        <f>IF(F265&lt;&gt;"",1+MAX($B$22:B264),"")</f>
        <v>131</v>
      </c>
      <c r="C265" s="112"/>
      <c r="D265" s="63" t="s">
        <v>220</v>
      </c>
      <c r="E265" s="21" t="s">
        <v>86</v>
      </c>
      <c r="F265" s="34">
        <f>(1*15.33+(15.33/1*0.5))*0.376*1.1</f>
        <v>9.5107320000000009</v>
      </c>
      <c r="G265" s="15">
        <v>0.77168999999999999</v>
      </c>
      <c r="H265" s="15">
        <f t="shared" si="55"/>
        <v>7.3393367770800007</v>
      </c>
      <c r="I265" s="15">
        <v>0.54822767999999988</v>
      </c>
      <c r="J265" s="15">
        <f t="shared" si="56"/>
        <v>5.2140465394617594</v>
      </c>
      <c r="K265" s="15">
        <f t="shared" si="57"/>
        <v>12.55338331654176</v>
      </c>
      <c r="L265" s="43"/>
    </row>
    <row r="266" spans="2:12" x14ac:dyDescent="0.2">
      <c r="B266" s="42" t="str">
        <f>IF(F266&lt;&gt;"",1+MAX($B$22:B265),"")</f>
        <v/>
      </c>
      <c r="C266" s="46"/>
      <c r="D266" s="8"/>
      <c r="E266" s="21"/>
      <c r="F266" s="34"/>
      <c r="G266" s="15">
        <v>0</v>
      </c>
      <c r="H266" s="15">
        <f t="shared" si="55"/>
        <v>0</v>
      </c>
      <c r="I266" s="15">
        <v>0</v>
      </c>
      <c r="J266" s="15">
        <f t="shared" si="56"/>
        <v>0</v>
      </c>
      <c r="K266" s="15">
        <f t="shared" si="57"/>
        <v>0</v>
      </c>
      <c r="L266" s="43"/>
    </row>
    <row r="267" spans="2:12" x14ac:dyDescent="0.2">
      <c r="B267" s="57" t="str">
        <f>IF(F267&lt;&gt;"",1+MAX($B$22:B266),"")</f>
        <v/>
      </c>
      <c r="C267" s="58"/>
      <c r="D267" s="59" t="s">
        <v>50</v>
      </c>
      <c r="E267" s="21"/>
      <c r="F267" s="34"/>
      <c r="G267" s="15">
        <v>0</v>
      </c>
      <c r="H267" s="15">
        <f t="shared" si="55"/>
        <v>0</v>
      </c>
      <c r="I267" s="15">
        <v>0</v>
      </c>
      <c r="J267" s="15">
        <f t="shared" si="56"/>
        <v>0</v>
      </c>
      <c r="K267" s="15">
        <f t="shared" si="57"/>
        <v>0</v>
      </c>
      <c r="L267" s="43"/>
    </row>
    <row r="268" spans="2:12" x14ac:dyDescent="0.2">
      <c r="B268" s="42" t="str">
        <f>IF(F268&lt;&gt;"",1+MAX($B$22:B267),"")</f>
        <v/>
      </c>
      <c r="C268" s="46"/>
      <c r="D268" s="8"/>
      <c r="E268" s="21"/>
      <c r="F268" s="34"/>
      <c r="G268" s="15">
        <v>0</v>
      </c>
      <c r="H268" s="15">
        <f t="shared" si="55"/>
        <v>0</v>
      </c>
      <c r="I268" s="15">
        <v>0</v>
      </c>
      <c r="J268" s="15">
        <f t="shared" si="56"/>
        <v>0</v>
      </c>
      <c r="K268" s="15">
        <f t="shared" si="57"/>
        <v>0</v>
      </c>
      <c r="L268" s="43"/>
    </row>
    <row r="269" spans="2:12" x14ac:dyDescent="0.2">
      <c r="B269" s="42" t="str">
        <f>IF(F269&lt;&gt;"",1+MAX($B$22:B268),"")</f>
        <v/>
      </c>
      <c r="C269" s="46"/>
      <c r="D269" s="44" t="s">
        <v>221</v>
      </c>
      <c r="E269" s="21"/>
      <c r="F269" s="34"/>
      <c r="G269" s="15">
        <v>0</v>
      </c>
      <c r="H269" s="15">
        <f t="shared" si="55"/>
        <v>0</v>
      </c>
      <c r="I269" s="15">
        <v>0</v>
      </c>
      <c r="J269" s="15">
        <f t="shared" si="56"/>
        <v>0</v>
      </c>
      <c r="K269" s="15">
        <f t="shared" si="57"/>
        <v>0</v>
      </c>
      <c r="L269" s="43"/>
    </row>
    <row r="270" spans="2:12" ht="51" x14ac:dyDescent="0.2">
      <c r="B270" s="42">
        <f>IF(F270&lt;&gt;"",1+MAX($B$22:B269),"")</f>
        <v>132</v>
      </c>
      <c r="C270" s="112" t="s">
        <v>212</v>
      </c>
      <c r="D270" s="8" t="s">
        <v>222</v>
      </c>
      <c r="E270" s="21" t="s">
        <v>45</v>
      </c>
      <c r="F270" s="61">
        <f>4*(4*4*1)/27</f>
        <v>2.3703703703703702</v>
      </c>
      <c r="G270" s="15">
        <v>202.38235500000002</v>
      </c>
      <c r="H270" s="15">
        <f t="shared" si="55"/>
        <v>479.72113777777781</v>
      </c>
      <c r="I270" s="15">
        <v>384.02747019000003</v>
      </c>
      <c r="J270" s="15">
        <f t="shared" si="56"/>
        <v>910.28733674666671</v>
      </c>
      <c r="K270" s="15">
        <f t="shared" si="57"/>
        <v>1390.0084745244444</v>
      </c>
      <c r="L270" s="43"/>
    </row>
    <row r="271" spans="2:12" ht="51" x14ac:dyDescent="0.2">
      <c r="B271" s="42">
        <f>IF(F271&lt;&gt;"",1+MAX($B$22:B270),"")</f>
        <v>133</v>
      </c>
      <c r="C271" s="112"/>
      <c r="D271" s="8" t="s">
        <v>223</v>
      </c>
      <c r="E271" s="21" t="s">
        <v>45</v>
      </c>
      <c r="F271" s="61">
        <f>6*(6*6*1.5)/27</f>
        <v>12</v>
      </c>
      <c r="G271" s="15">
        <v>202.38235500000002</v>
      </c>
      <c r="H271" s="15">
        <f t="shared" si="55"/>
        <v>2428.5882600000004</v>
      </c>
      <c r="I271" s="15">
        <v>384.02747019000003</v>
      </c>
      <c r="J271" s="15">
        <f t="shared" si="56"/>
        <v>4608.3296422800004</v>
      </c>
      <c r="K271" s="15">
        <f t="shared" si="57"/>
        <v>7036.9179022800008</v>
      </c>
      <c r="L271" s="43"/>
    </row>
    <row r="272" spans="2:12" ht="51" x14ac:dyDescent="0.2">
      <c r="B272" s="42">
        <f>IF(F272&lt;&gt;"",1+MAX($B$22:B271),"")</f>
        <v>134</v>
      </c>
      <c r="C272" s="112"/>
      <c r="D272" s="8" t="s">
        <v>224</v>
      </c>
      <c r="E272" s="21" t="s">
        <v>45</v>
      </c>
      <c r="F272" s="61">
        <f>2*(9.5*9.5*2)/27</f>
        <v>13.37037037037037</v>
      </c>
      <c r="G272" s="15">
        <v>202.38235500000002</v>
      </c>
      <c r="H272" s="15">
        <f t="shared" si="55"/>
        <v>2705.9270427777778</v>
      </c>
      <c r="I272" s="15">
        <v>384.02747019000003</v>
      </c>
      <c r="J272" s="15">
        <f t="shared" si="56"/>
        <v>5134.5895088366669</v>
      </c>
      <c r="K272" s="15">
        <f t="shared" si="57"/>
        <v>7840.5165516144443</v>
      </c>
      <c r="L272" s="43"/>
    </row>
    <row r="273" spans="2:29" ht="12.75" customHeight="1" x14ac:dyDescent="0.2">
      <c r="B273" s="42">
        <f>IF(F273&lt;&gt;"",1+MAX($B$22:B272),"")</f>
        <v>135</v>
      </c>
      <c r="C273" s="112"/>
      <c r="D273" s="63" t="s">
        <v>88</v>
      </c>
      <c r="E273" s="21" t="s">
        <v>86</v>
      </c>
      <c r="F273" s="34">
        <f>((6*4*2*2)+(10*6*2*2)+(14*9.5*2*2))*1.043*1.1</f>
        <v>995.85640000000001</v>
      </c>
      <c r="G273" s="15">
        <v>0.70960000000000001</v>
      </c>
      <c r="H273" s="15">
        <f t="shared" si="55"/>
        <v>706.65970144000005</v>
      </c>
      <c r="I273" s="15">
        <v>0.44854991999999994</v>
      </c>
      <c r="J273" s="15">
        <f t="shared" si="56"/>
        <v>446.69130855148796</v>
      </c>
      <c r="K273" s="15">
        <f t="shared" si="57"/>
        <v>1153.3510099914879</v>
      </c>
      <c r="L273" s="43"/>
    </row>
    <row r="274" spans="2:29" s="11" customFormat="1" x14ac:dyDescent="0.2">
      <c r="B274" s="42" t="str">
        <f>IF(F274&lt;&gt;"",1+MAX($B$22:B273),"")</f>
        <v/>
      </c>
      <c r="C274" s="46"/>
      <c r="D274" s="8"/>
      <c r="E274" s="21"/>
      <c r="F274" s="34"/>
      <c r="G274" s="15">
        <v>0</v>
      </c>
      <c r="H274" s="15">
        <f t="shared" si="55"/>
        <v>0</v>
      </c>
      <c r="I274" s="15">
        <v>0</v>
      </c>
      <c r="J274" s="15">
        <f t="shared" si="56"/>
        <v>0</v>
      </c>
      <c r="K274" s="15">
        <f t="shared" si="57"/>
        <v>0</v>
      </c>
      <c r="L274" s="43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</row>
    <row r="275" spans="2:29" x14ac:dyDescent="0.2">
      <c r="B275" s="42" t="str">
        <f>IF(F275&lt;&gt;"",1+MAX($B$22:B274),"")</f>
        <v/>
      </c>
      <c r="C275" s="46"/>
      <c r="D275" s="44" t="s">
        <v>225</v>
      </c>
      <c r="E275" s="21"/>
      <c r="F275" s="34"/>
      <c r="G275" s="15">
        <v>0</v>
      </c>
      <c r="H275" s="15">
        <f t="shared" si="55"/>
        <v>0</v>
      </c>
      <c r="I275" s="15">
        <v>0</v>
      </c>
      <c r="J275" s="15">
        <f t="shared" si="56"/>
        <v>0</v>
      </c>
      <c r="K275" s="15">
        <f t="shared" si="57"/>
        <v>0</v>
      </c>
      <c r="L275" s="43"/>
    </row>
    <row r="276" spans="2:29" s="11" customFormat="1" ht="38.25" x14ac:dyDescent="0.2">
      <c r="B276" s="42">
        <f>IF(F276&lt;&gt;"",1+MAX($B$22:B275),"")</f>
        <v>136</v>
      </c>
      <c r="C276" s="112" t="s">
        <v>212</v>
      </c>
      <c r="D276" s="8" t="s">
        <v>226</v>
      </c>
      <c r="E276" s="21" t="s">
        <v>45</v>
      </c>
      <c r="F276" s="61">
        <f>(1.33*1.67*3.75)*12/27</f>
        <v>3.7018333333333335</v>
      </c>
      <c r="G276" s="15">
        <v>779.14080000000013</v>
      </c>
      <c r="H276" s="15">
        <f t="shared" si="55"/>
        <v>2884.2493848000008</v>
      </c>
      <c r="I276" s="15">
        <v>402.704873298</v>
      </c>
      <c r="J276" s="15">
        <f t="shared" si="56"/>
        <v>1490.746323470313</v>
      </c>
      <c r="K276" s="15">
        <f t="shared" si="57"/>
        <v>4374.995708270314</v>
      </c>
      <c r="L276" s="43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</row>
    <row r="277" spans="2:29" ht="12.75" customHeight="1" x14ac:dyDescent="0.2">
      <c r="B277" s="42">
        <f>IF(F277&lt;&gt;"",1+MAX($B$22:B276),"")</f>
        <v>137</v>
      </c>
      <c r="C277" s="112"/>
      <c r="D277" s="63" t="s">
        <v>87</v>
      </c>
      <c r="E277" s="21" t="s">
        <v>86</v>
      </c>
      <c r="F277" s="34">
        <f>((1.33+1.33+1.67+1.67)/1*1*12+2)*0.668*1.1</f>
        <v>54.375200000000007</v>
      </c>
      <c r="G277" s="15">
        <v>0.66525000000000001</v>
      </c>
      <c r="H277" s="15">
        <f t="shared" si="55"/>
        <v>36.173101800000005</v>
      </c>
      <c r="I277" s="15">
        <v>0.49838879999999997</v>
      </c>
      <c r="J277" s="15">
        <f t="shared" si="56"/>
        <v>27.099990677760001</v>
      </c>
      <c r="K277" s="15">
        <f t="shared" si="57"/>
        <v>63.273092477760002</v>
      </c>
      <c r="L277" s="43"/>
    </row>
    <row r="278" spans="2:29" ht="12.75" customHeight="1" x14ac:dyDescent="0.2">
      <c r="B278" s="42">
        <f>IF(F278&lt;&gt;"",1+MAX($B$22:B277),"")</f>
        <v>138</v>
      </c>
      <c r="C278" s="112"/>
      <c r="D278" s="63" t="s">
        <v>227</v>
      </c>
      <c r="E278" s="21" t="s">
        <v>86</v>
      </c>
      <c r="F278" s="34">
        <f>(4*12)*2.67*1.1</f>
        <v>140.976</v>
      </c>
      <c r="G278" s="15">
        <v>0.61202999999999996</v>
      </c>
      <c r="H278" s="15">
        <f t="shared" si="55"/>
        <v>86.281541279999999</v>
      </c>
      <c r="I278" s="15">
        <v>0.39871103999999996</v>
      </c>
      <c r="J278" s="15">
        <f t="shared" si="56"/>
        <v>56.208687575039995</v>
      </c>
      <c r="K278" s="15">
        <f t="shared" si="57"/>
        <v>142.49022885503999</v>
      </c>
      <c r="L278" s="43"/>
    </row>
    <row r="279" spans="2:29" s="11" customFormat="1" x14ac:dyDescent="0.2">
      <c r="B279" s="42" t="str">
        <f>IF(F279&lt;&gt;"",1+MAX($B$22:B278),"")</f>
        <v/>
      </c>
      <c r="C279" s="46"/>
      <c r="D279" s="8"/>
      <c r="E279" s="21"/>
      <c r="F279" s="34"/>
      <c r="G279" s="15">
        <v>0</v>
      </c>
      <c r="H279" s="15">
        <f t="shared" si="55"/>
        <v>0</v>
      </c>
      <c r="I279" s="15">
        <v>0</v>
      </c>
      <c r="J279" s="15">
        <f t="shared" si="56"/>
        <v>0</v>
      </c>
      <c r="K279" s="15">
        <f t="shared" si="57"/>
        <v>0</v>
      </c>
      <c r="L279" s="43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</row>
    <row r="280" spans="2:29" x14ac:dyDescent="0.2">
      <c r="B280" s="42" t="str">
        <f>IF(F280&lt;&gt;"",1+MAX($B$22:B279),"")</f>
        <v/>
      </c>
      <c r="C280" s="46"/>
      <c r="D280" s="44" t="s">
        <v>228</v>
      </c>
      <c r="E280" s="21"/>
      <c r="F280" s="34"/>
      <c r="G280" s="15">
        <v>0</v>
      </c>
      <c r="H280" s="15">
        <f t="shared" si="55"/>
        <v>0</v>
      </c>
      <c r="I280" s="15">
        <v>0</v>
      </c>
      <c r="J280" s="15">
        <f t="shared" si="56"/>
        <v>0</v>
      </c>
      <c r="K280" s="15">
        <f t="shared" si="57"/>
        <v>0</v>
      </c>
      <c r="L280" s="43"/>
    </row>
    <row r="281" spans="2:29" s="11" customFormat="1" ht="25.5" x14ac:dyDescent="0.2">
      <c r="B281" s="42">
        <f>IF(F281&lt;&gt;"",1+MAX($B$22:B280),"")</f>
        <v>139</v>
      </c>
      <c r="C281" s="112" t="s">
        <v>212</v>
      </c>
      <c r="D281" s="8" t="s">
        <v>229</v>
      </c>
      <c r="E281" s="21" t="s">
        <v>45</v>
      </c>
      <c r="F281" s="61">
        <f>(1.5*1*5.33)/27</f>
        <v>0.2961111111111111</v>
      </c>
      <c r="G281" s="15">
        <v>206.22749999999999</v>
      </c>
      <c r="H281" s="15">
        <f t="shared" si="55"/>
        <v>61.06625416666666</v>
      </c>
      <c r="I281" s="15">
        <v>332.51400000000024</v>
      </c>
      <c r="J281" s="15">
        <f t="shared" si="56"/>
        <v>98.46109000000007</v>
      </c>
      <c r="K281" s="15">
        <f t="shared" si="57"/>
        <v>159.52734416666672</v>
      </c>
      <c r="L281" s="43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</row>
    <row r="282" spans="2:29" s="11" customFormat="1" ht="25.5" x14ac:dyDescent="0.2">
      <c r="B282" s="42">
        <f>IF(F282&lt;&gt;"",1+MAX($B$22:B281),"")</f>
        <v>140</v>
      </c>
      <c r="C282" s="112"/>
      <c r="D282" s="8" t="s">
        <v>230</v>
      </c>
      <c r="E282" s="21" t="s">
        <v>45</v>
      </c>
      <c r="F282" s="61">
        <f>(2*1*122.34)/27</f>
        <v>9.0622222222222231</v>
      </c>
      <c r="G282" s="15">
        <v>206.22749999999999</v>
      </c>
      <c r="H282" s="15">
        <f t="shared" si="55"/>
        <v>1868.8794333333335</v>
      </c>
      <c r="I282" s="15">
        <v>332.51400000000024</v>
      </c>
      <c r="J282" s="15">
        <f t="shared" si="56"/>
        <v>3013.3157600000022</v>
      </c>
      <c r="K282" s="15">
        <f t="shared" si="57"/>
        <v>4882.1951933333357</v>
      </c>
      <c r="L282" s="43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</row>
    <row r="283" spans="2:29" ht="12.75" customHeight="1" x14ac:dyDescent="0.2">
      <c r="B283" s="42">
        <f>IF(F283&lt;&gt;"",1+MAX($B$22:B282),"")</f>
        <v>141</v>
      </c>
      <c r="C283" s="112"/>
      <c r="D283" s="63" t="s">
        <v>88</v>
      </c>
      <c r="E283" s="21" t="s">
        <v>86</v>
      </c>
      <c r="F283" s="34">
        <f>(3*5.33+3*122.34)*1.043*1.1</f>
        <v>439.42737299999999</v>
      </c>
      <c r="G283" s="15">
        <v>0.70960000000000001</v>
      </c>
      <c r="H283" s="15">
        <f t="shared" si="55"/>
        <v>311.81766388080001</v>
      </c>
      <c r="I283" s="15">
        <v>0.44854991999999994</v>
      </c>
      <c r="J283" s="15">
        <f t="shared" si="56"/>
        <v>197.10511300496012</v>
      </c>
      <c r="K283" s="15">
        <f t="shared" si="57"/>
        <v>508.92277688576013</v>
      </c>
      <c r="L283" s="43"/>
    </row>
    <row r="284" spans="2:29" s="11" customFormat="1" x14ac:dyDescent="0.2">
      <c r="B284" s="42" t="str">
        <f>IF(F284&lt;&gt;"",1+MAX($B$22:B283),"")</f>
        <v/>
      </c>
      <c r="C284" s="46"/>
      <c r="D284" s="8"/>
      <c r="E284" s="21"/>
      <c r="F284" s="61"/>
      <c r="G284" s="15">
        <v>0</v>
      </c>
      <c r="H284" s="15">
        <f t="shared" si="55"/>
        <v>0</v>
      </c>
      <c r="I284" s="15">
        <v>0</v>
      </c>
      <c r="J284" s="15">
        <f t="shared" si="56"/>
        <v>0</v>
      </c>
      <c r="K284" s="15">
        <f t="shared" si="57"/>
        <v>0</v>
      </c>
      <c r="L284" s="43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</row>
    <row r="285" spans="2:29" x14ac:dyDescent="0.2">
      <c r="B285" s="57" t="str">
        <f>IF(F285&lt;&gt;"",1+MAX($B$22:B284),"")</f>
        <v/>
      </c>
      <c r="C285" s="58"/>
      <c r="D285" s="59" t="s">
        <v>231</v>
      </c>
      <c r="E285" s="21"/>
      <c r="F285" s="34"/>
      <c r="G285" s="15">
        <v>0</v>
      </c>
      <c r="H285" s="15">
        <f t="shared" si="55"/>
        <v>0</v>
      </c>
      <c r="I285" s="15">
        <v>0</v>
      </c>
      <c r="J285" s="15">
        <f t="shared" si="56"/>
        <v>0</v>
      </c>
      <c r="K285" s="15">
        <f t="shared" si="57"/>
        <v>0</v>
      </c>
      <c r="L285" s="43"/>
    </row>
    <row r="286" spans="2:29" s="11" customFormat="1" ht="38.25" x14ac:dyDescent="0.2">
      <c r="B286" s="42">
        <f>IF(F286&lt;&gt;"",1+MAX($B$22:B285),"")</f>
        <v>142</v>
      </c>
      <c r="C286" s="112" t="s">
        <v>212</v>
      </c>
      <c r="D286" s="8" t="s">
        <v>232</v>
      </c>
      <c r="E286" s="21" t="s">
        <v>45</v>
      </c>
      <c r="F286" s="61">
        <f>(0.5*3.75*165.49)/27</f>
        <v>11.492361111111112</v>
      </c>
      <c r="G286" s="15">
        <v>243.48150000000001</v>
      </c>
      <c r="H286" s="15">
        <f t="shared" si="55"/>
        <v>2798.1773218750004</v>
      </c>
      <c r="I286" s="15">
        <v>315.29409748200004</v>
      </c>
      <c r="J286" s="15">
        <f t="shared" si="56"/>
        <v>3623.4736244650135</v>
      </c>
      <c r="K286" s="15">
        <f t="shared" si="57"/>
        <v>6421.6509463400143</v>
      </c>
      <c r="L286" s="43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</row>
    <row r="287" spans="2:29" s="11" customFormat="1" ht="51" x14ac:dyDescent="0.2">
      <c r="B287" s="42">
        <f>IF(F287&lt;&gt;"",1+MAX($B$22:B286),"")</f>
        <v>143</v>
      </c>
      <c r="C287" s="112"/>
      <c r="D287" s="8" t="s">
        <v>233</v>
      </c>
      <c r="E287" s="21" t="s">
        <v>45</v>
      </c>
      <c r="F287" s="61">
        <f>(0.5*3.75*22.74)/27</f>
        <v>1.5791666666666666</v>
      </c>
      <c r="G287" s="15">
        <v>243.48150000000001</v>
      </c>
      <c r="H287" s="15">
        <f t="shared" si="55"/>
        <v>384.49786875000001</v>
      </c>
      <c r="I287" s="15">
        <v>315.29409748200004</v>
      </c>
      <c r="J287" s="15">
        <f t="shared" si="56"/>
        <v>497.90192894032504</v>
      </c>
      <c r="K287" s="15">
        <f t="shared" si="57"/>
        <v>882.39979769032504</v>
      </c>
      <c r="L287" s="43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</row>
    <row r="288" spans="2:29" s="11" customFormat="1" ht="51" x14ac:dyDescent="0.2">
      <c r="B288" s="42">
        <f>IF(F288&lt;&gt;"",1+MAX($B$22:B287),"")</f>
        <v>144</v>
      </c>
      <c r="C288" s="112"/>
      <c r="D288" s="8" t="s">
        <v>234</v>
      </c>
      <c r="E288" s="21" t="s">
        <v>45</v>
      </c>
      <c r="F288" s="61">
        <f>(0.5*3.75*3.17)/27</f>
        <v>0.22013888888888888</v>
      </c>
      <c r="G288" s="15">
        <v>243.48150000000001</v>
      </c>
      <c r="H288" s="15">
        <f t="shared" si="55"/>
        <v>53.599746875000001</v>
      </c>
      <c r="I288" s="15">
        <v>315.29409748200004</v>
      </c>
      <c r="J288" s="15">
        <f t="shared" si="56"/>
        <v>69.408492292912513</v>
      </c>
      <c r="K288" s="15">
        <f t="shared" si="57"/>
        <v>123.00823916791251</v>
      </c>
      <c r="L288" s="43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</row>
    <row r="289" spans="2:29" ht="12.75" customHeight="1" x14ac:dyDescent="0.2">
      <c r="B289" s="42">
        <f>IF(F289&lt;&gt;"",1+MAX($B$22:B288),"")</f>
        <v>145</v>
      </c>
      <c r="C289" s="112"/>
      <c r="D289" s="63" t="s">
        <v>87</v>
      </c>
      <c r="E289" s="21" t="s">
        <v>86</v>
      </c>
      <c r="F289" s="34">
        <f>((2*165.49)+(165.49*3.75/1))*0.668*1.1+((2*22.74)+(22.74*3.75/1)+(4*22.74/1))*0.668*1.1+((2*3.17)+(4*2*3.17*3.75/1))*0.668*1.1</f>
        <v>936.66609300000027</v>
      </c>
      <c r="G289" s="15">
        <v>0.66525000000000001</v>
      </c>
      <c r="H289" s="15">
        <f t="shared" si="55"/>
        <v>623.1171183682502</v>
      </c>
      <c r="I289" s="15">
        <v>0.49838879999999997</v>
      </c>
      <c r="J289" s="15">
        <f t="shared" si="56"/>
        <v>466.82389009095851</v>
      </c>
      <c r="K289" s="15">
        <f t="shared" si="57"/>
        <v>1089.9410084592087</v>
      </c>
      <c r="L289" s="43"/>
    </row>
    <row r="290" spans="2:29" s="11" customFormat="1" x14ac:dyDescent="0.2">
      <c r="B290" s="42" t="str">
        <f>IF(F290&lt;&gt;"",1+MAX($B$22:B289),"")</f>
        <v/>
      </c>
      <c r="C290" s="46"/>
      <c r="D290" s="8"/>
      <c r="E290" s="21"/>
      <c r="F290" s="61"/>
      <c r="G290" s="15">
        <v>0</v>
      </c>
      <c r="H290" s="15">
        <f t="shared" si="55"/>
        <v>0</v>
      </c>
      <c r="I290" s="15">
        <v>0</v>
      </c>
      <c r="J290" s="15">
        <f t="shared" si="56"/>
        <v>0</v>
      </c>
      <c r="K290" s="15">
        <f t="shared" si="57"/>
        <v>0</v>
      </c>
      <c r="L290" s="43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</row>
    <row r="291" spans="2:29" s="11" customFormat="1" ht="12.75" customHeight="1" x14ac:dyDescent="0.2">
      <c r="B291" s="12" t="str">
        <f>IF(F291&lt;&gt;"",1+MAX($B$2:B247),"")</f>
        <v/>
      </c>
      <c r="C291" s="12" t="s">
        <v>202</v>
      </c>
      <c r="D291" s="6" t="s">
        <v>377</v>
      </c>
      <c r="E291" s="113" t="s">
        <v>34</v>
      </c>
      <c r="F291" s="113"/>
      <c r="G291" s="45">
        <f>SUM(H292:H308)</f>
        <v>5733.7019431350836</v>
      </c>
      <c r="H291" s="7">
        <f t="shared" ref="H291:H308" si="58">F291*G291</f>
        <v>0</v>
      </c>
      <c r="I291" s="45">
        <f>SUM(J292:J308)</f>
        <v>8201.1447612367447</v>
      </c>
      <c r="J291" s="7">
        <f t="shared" ref="J291:J308" si="59">F291*I291</f>
        <v>0</v>
      </c>
      <c r="K291" s="41">
        <f>SUM(K292:K308)</f>
        <v>13934.846704371826</v>
      </c>
      <c r="L291" s="41">
        <f>(K291)+(G291*$K$8)+(I291*$K$9)+(K291*$K$10)+($K$11*((K291)+(G291*$K$8)+(I291*$K$9)+(K291*$K$10)))+(K291*$K$12)</f>
        <v>19665.71214781368</v>
      </c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</row>
    <row r="292" spans="2:29" x14ac:dyDescent="0.2">
      <c r="B292" s="42" t="str">
        <f>IF(F292&lt;&gt;"",1+MAX($B$2:B291),"")</f>
        <v/>
      </c>
      <c r="C292" s="46"/>
      <c r="D292" s="8"/>
      <c r="E292" s="21"/>
      <c r="F292" s="24"/>
      <c r="G292" s="15">
        <v>0</v>
      </c>
      <c r="H292" s="15">
        <f t="shared" si="58"/>
        <v>0</v>
      </c>
      <c r="I292" s="15">
        <v>0</v>
      </c>
      <c r="J292" s="15">
        <f t="shared" si="59"/>
        <v>0</v>
      </c>
      <c r="K292" s="15">
        <f t="shared" ref="K292:K308" si="60">H292+J292</f>
        <v>0</v>
      </c>
      <c r="L292" s="43"/>
      <c r="M292" s="11"/>
    </row>
    <row r="293" spans="2:29" x14ac:dyDescent="0.2">
      <c r="B293" s="57" t="str">
        <f>IF(F293&lt;&gt;"",1+MAX($B$22:B292),"")</f>
        <v/>
      </c>
      <c r="C293" s="58"/>
      <c r="D293" s="59" t="s">
        <v>50</v>
      </c>
      <c r="E293" s="21"/>
      <c r="F293" s="34"/>
      <c r="G293" s="15">
        <v>0</v>
      </c>
      <c r="H293" s="15">
        <f t="shared" si="58"/>
        <v>0</v>
      </c>
      <c r="I293" s="15">
        <v>0</v>
      </c>
      <c r="J293" s="15">
        <f t="shared" si="59"/>
        <v>0</v>
      </c>
      <c r="K293" s="15">
        <f t="shared" si="60"/>
        <v>0</v>
      </c>
      <c r="L293" s="43"/>
    </row>
    <row r="294" spans="2:29" x14ac:dyDescent="0.2">
      <c r="B294" s="42" t="str">
        <f>IF(F294&lt;&gt;"",1+MAX($B$22:B288),"")</f>
        <v/>
      </c>
      <c r="C294" s="46"/>
      <c r="D294" s="8"/>
      <c r="E294" s="21"/>
      <c r="F294" s="34"/>
      <c r="G294" s="15">
        <v>0</v>
      </c>
      <c r="H294" s="15">
        <f t="shared" ref="H294:H298" si="61">F294*G294</f>
        <v>0</v>
      </c>
      <c r="I294" s="15">
        <v>0</v>
      </c>
      <c r="J294" s="15">
        <f t="shared" ref="J294:J298" si="62">F294*I294</f>
        <v>0</v>
      </c>
      <c r="K294" s="15">
        <f t="shared" ref="K294:K298" si="63">H294+J294</f>
        <v>0</v>
      </c>
      <c r="L294" s="43"/>
    </row>
    <row r="295" spans="2:29" x14ac:dyDescent="0.2">
      <c r="B295" s="42" t="str">
        <f>IF(F295&lt;&gt;"",1+MAX($B$22:B294),"")</f>
        <v/>
      </c>
      <c r="C295" s="46"/>
      <c r="D295" s="44" t="s">
        <v>149</v>
      </c>
      <c r="E295" s="21"/>
      <c r="F295" s="34"/>
      <c r="G295" s="15">
        <v>0</v>
      </c>
      <c r="H295" s="15">
        <f t="shared" si="61"/>
        <v>0</v>
      </c>
      <c r="I295" s="15">
        <v>0</v>
      </c>
      <c r="J295" s="15">
        <f t="shared" si="62"/>
        <v>0</v>
      </c>
      <c r="K295" s="15">
        <f t="shared" si="63"/>
        <v>0</v>
      </c>
      <c r="L295" s="43"/>
    </row>
    <row r="296" spans="2:29" x14ac:dyDescent="0.2">
      <c r="B296" s="42">
        <f>IF(F296&lt;&gt;"",1+MAX($B$22:B295),"")</f>
        <v>146</v>
      </c>
      <c r="C296" s="112" t="s">
        <v>212</v>
      </c>
      <c r="D296" s="8" t="s">
        <v>287</v>
      </c>
      <c r="E296" s="21" t="s">
        <v>45</v>
      </c>
      <c r="F296" s="61">
        <f>13*5*5*1/27</f>
        <v>12.037037037037036</v>
      </c>
      <c r="G296" s="15">
        <v>202.38235500000002</v>
      </c>
      <c r="H296" s="15">
        <f t="shared" si="61"/>
        <v>2436.0839027777779</v>
      </c>
      <c r="I296" s="15">
        <v>384.02747019000003</v>
      </c>
      <c r="J296" s="15">
        <f t="shared" si="62"/>
        <v>4622.5528819166666</v>
      </c>
      <c r="K296" s="15">
        <f t="shared" si="63"/>
        <v>7058.6367846944449</v>
      </c>
      <c r="L296" s="43"/>
    </row>
    <row r="297" spans="2:29" x14ac:dyDescent="0.2">
      <c r="B297" s="42"/>
      <c r="C297" s="112"/>
      <c r="D297" s="8"/>
      <c r="E297" s="21"/>
      <c r="F297" s="61"/>
      <c r="G297" s="15"/>
      <c r="H297" s="15"/>
      <c r="I297" s="15"/>
      <c r="J297" s="15"/>
      <c r="K297" s="15"/>
      <c r="L297" s="43"/>
    </row>
    <row r="298" spans="2:29" x14ac:dyDescent="0.2">
      <c r="B298" s="42" t="str">
        <f>IF(F298&lt;&gt;"",1+MAX($B$22:B296),"")</f>
        <v/>
      </c>
      <c r="C298" s="112"/>
      <c r="D298" s="44" t="s">
        <v>381</v>
      </c>
      <c r="E298" s="21"/>
      <c r="F298" s="34"/>
      <c r="G298" s="15">
        <v>0</v>
      </c>
      <c r="H298" s="15">
        <f t="shared" si="61"/>
        <v>0</v>
      </c>
      <c r="I298" s="15">
        <v>0</v>
      </c>
      <c r="J298" s="15">
        <f t="shared" si="62"/>
        <v>0</v>
      </c>
      <c r="K298" s="15">
        <f t="shared" si="63"/>
        <v>0</v>
      </c>
      <c r="L298" s="43"/>
    </row>
    <row r="299" spans="2:29" ht="25.5" x14ac:dyDescent="0.2">
      <c r="B299" s="42">
        <f>IF(F299&lt;&gt;"",1+MAX($B$22:B298),"")</f>
        <v>147</v>
      </c>
      <c r="C299" s="112"/>
      <c r="D299" s="8" t="s">
        <v>379</v>
      </c>
      <c r="E299" s="21" t="s">
        <v>45</v>
      </c>
      <c r="F299" s="24">
        <f>13*1.33*1.33*3.5/27</f>
        <v>2.9809240740740739</v>
      </c>
      <c r="G299" s="15">
        <v>202.38235500000002</v>
      </c>
      <c r="H299" s="15">
        <f t="shared" ref="H299" si="64">F299*G299</f>
        <v>603.28643418730553</v>
      </c>
      <c r="I299" s="15">
        <v>384.02747019000003</v>
      </c>
      <c r="J299" s="15">
        <f t="shared" ref="J299" si="65">F299*I299</f>
        <v>1144.7567309951348</v>
      </c>
      <c r="K299" s="15">
        <f t="shared" ref="K299" si="66">H299+J299</f>
        <v>1748.0431651824404</v>
      </c>
      <c r="L299" s="43"/>
    </row>
    <row r="300" spans="2:29" x14ac:dyDescent="0.2">
      <c r="B300" s="42"/>
      <c r="C300" s="112"/>
      <c r="D300" s="8"/>
      <c r="E300" s="21"/>
      <c r="F300" s="61"/>
      <c r="G300" s="15"/>
      <c r="H300" s="15"/>
      <c r="I300" s="15"/>
      <c r="J300" s="15"/>
      <c r="K300" s="15"/>
      <c r="L300" s="43"/>
    </row>
    <row r="301" spans="2:29" x14ac:dyDescent="0.2">
      <c r="B301" s="42"/>
      <c r="C301" s="112"/>
      <c r="D301" s="44" t="s">
        <v>380</v>
      </c>
      <c r="E301" s="21"/>
      <c r="F301" s="61"/>
      <c r="G301" s="15"/>
      <c r="H301" s="15"/>
      <c r="I301" s="15"/>
      <c r="J301" s="15"/>
      <c r="K301" s="15"/>
      <c r="L301" s="43"/>
    </row>
    <row r="302" spans="2:29" ht="12.75" customHeight="1" x14ac:dyDescent="0.2">
      <c r="B302" s="42">
        <f>IF(F302&lt;&gt;"",1+MAX($B$22:B295),"")</f>
        <v>146</v>
      </c>
      <c r="C302" s="112"/>
      <c r="D302" s="63" t="s">
        <v>87</v>
      </c>
      <c r="E302" s="21" t="s">
        <v>86</v>
      </c>
      <c r="F302" s="34">
        <f>9*5.3*13*1.1*0.668</f>
        <v>455.64947999999998</v>
      </c>
      <c r="G302" s="15">
        <v>0.66525000000000001</v>
      </c>
      <c r="H302" s="15">
        <f t="shared" ref="H302" si="67">F302*G302</f>
        <v>303.12081656999999</v>
      </c>
      <c r="I302" s="15">
        <v>0.49838879999999997</v>
      </c>
      <c r="J302" s="15">
        <f t="shared" ref="J302" si="68">F302*I302</f>
        <v>227.09059755782397</v>
      </c>
      <c r="K302" s="15">
        <f t="shared" ref="K302" si="69">H302+J302</f>
        <v>530.2114141278239</v>
      </c>
      <c r="L302" s="43"/>
    </row>
    <row r="303" spans="2:29" ht="12.75" customHeight="1" x14ac:dyDescent="0.2">
      <c r="B303" s="42">
        <f>IF(F303&lt;&gt;"",1+MAX($B$22:B295),"")</f>
        <v>146</v>
      </c>
      <c r="C303" s="112"/>
      <c r="D303" s="63" t="s">
        <v>88</v>
      </c>
      <c r="E303" s="21" t="s">
        <v>86</v>
      </c>
      <c r="F303" s="34">
        <f>(7*5*4)*13*1.043*1.1</f>
        <v>2088.0859999999998</v>
      </c>
      <c r="G303" s="15">
        <v>0.70960000000000001</v>
      </c>
      <c r="H303" s="15">
        <f t="shared" ref="H303:H304" si="70">F303*G303</f>
        <v>1481.7058255999998</v>
      </c>
      <c r="I303" s="15">
        <v>0.44854991999999994</v>
      </c>
      <c r="J303" s="15">
        <f t="shared" ref="J303:J304" si="71">F303*I303</f>
        <v>936.61080825311979</v>
      </c>
      <c r="K303" s="15">
        <f t="shared" ref="K303:K304" si="72">H303+J303</f>
        <v>2418.3166338531196</v>
      </c>
      <c r="L303" s="43"/>
    </row>
    <row r="304" spans="2:29" ht="12.75" customHeight="1" x14ac:dyDescent="0.2">
      <c r="B304" s="42">
        <f>IF(F304&lt;&gt;"",1+MAX($B$22:B296),"")</f>
        <v>147</v>
      </c>
      <c r="C304" s="112"/>
      <c r="D304" s="63" t="s">
        <v>227</v>
      </c>
      <c r="E304" s="21" t="s">
        <v>86</v>
      </c>
      <c r="F304" s="34">
        <f>8*3.5*1.1</f>
        <v>30.800000000000004</v>
      </c>
      <c r="G304" s="15">
        <v>0.61202999999999996</v>
      </c>
      <c r="H304" s="15">
        <f t="shared" si="70"/>
        <v>18.850524</v>
      </c>
      <c r="I304" s="15">
        <v>0.39871103999999996</v>
      </c>
      <c r="J304" s="15">
        <f t="shared" si="71"/>
        <v>12.280300032000001</v>
      </c>
      <c r="K304" s="15">
        <f t="shared" si="72"/>
        <v>31.130824032</v>
      </c>
      <c r="L304" s="43"/>
    </row>
    <row r="305" spans="2:29" x14ac:dyDescent="0.2">
      <c r="B305" s="42" t="str">
        <f>IF(F305&lt;&gt;"",1+MAX($B$22:B293),"")</f>
        <v/>
      </c>
      <c r="C305" s="46"/>
      <c r="D305" s="8"/>
      <c r="E305" s="21"/>
      <c r="F305" s="34"/>
      <c r="G305" s="15">
        <v>0</v>
      </c>
      <c r="H305" s="15">
        <f t="shared" si="58"/>
        <v>0</v>
      </c>
      <c r="I305" s="15">
        <v>0</v>
      </c>
      <c r="J305" s="15">
        <f t="shared" si="59"/>
        <v>0</v>
      </c>
      <c r="K305" s="15">
        <f t="shared" si="60"/>
        <v>0</v>
      </c>
      <c r="L305" s="43"/>
    </row>
    <row r="306" spans="2:29" x14ac:dyDescent="0.2">
      <c r="B306" s="42" t="str">
        <f>IF(F306&lt;&gt;"",1+MAX($B$22:B305),"")</f>
        <v/>
      </c>
      <c r="C306" s="46"/>
      <c r="D306" s="44" t="s">
        <v>269</v>
      </c>
      <c r="E306" s="21"/>
      <c r="F306" s="34"/>
      <c r="G306" s="15">
        <v>0</v>
      </c>
      <c r="H306" s="15">
        <f t="shared" si="58"/>
        <v>0</v>
      </c>
      <c r="I306" s="15">
        <v>0</v>
      </c>
      <c r="J306" s="15">
        <f t="shared" si="59"/>
        <v>0</v>
      </c>
      <c r="K306" s="15">
        <f t="shared" si="60"/>
        <v>0</v>
      </c>
      <c r="L306" s="43"/>
    </row>
    <row r="307" spans="2:29" x14ac:dyDescent="0.2">
      <c r="B307" s="42">
        <f>IF(F307&lt;&gt;"",1+MAX($B$22:B306),"")</f>
        <v>148</v>
      </c>
      <c r="C307" s="46" t="s">
        <v>212</v>
      </c>
      <c r="D307" s="8" t="s">
        <v>116</v>
      </c>
      <c r="E307" s="21" t="s">
        <v>44</v>
      </c>
      <c r="F307" s="34">
        <f>((5*1+5*1)*2+(1.33*3.5+1.33*3.5)*2)*13</f>
        <v>502.06000000000006</v>
      </c>
      <c r="G307" s="15">
        <v>1.774</v>
      </c>
      <c r="H307" s="15">
        <f t="shared" si="58"/>
        <v>890.65444000000014</v>
      </c>
      <c r="I307" s="15">
        <v>2.5053846999999996</v>
      </c>
      <c r="J307" s="15">
        <f t="shared" si="59"/>
        <v>1257.853442482</v>
      </c>
      <c r="K307" s="15">
        <f t="shared" si="60"/>
        <v>2148.5078824820002</v>
      </c>
      <c r="L307" s="43"/>
    </row>
    <row r="308" spans="2:29" s="11" customFormat="1" x14ac:dyDescent="0.2">
      <c r="B308" s="42" t="str">
        <f>IF(F308&lt;&gt;"",1+MAX($B$22:B307),"")</f>
        <v/>
      </c>
      <c r="C308" s="46"/>
      <c r="D308" s="8"/>
      <c r="E308" s="21"/>
      <c r="F308" s="34"/>
      <c r="G308" s="15">
        <v>0</v>
      </c>
      <c r="H308" s="15">
        <f t="shared" si="58"/>
        <v>0</v>
      </c>
      <c r="I308" s="15">
        <v>0</v>
      </c>
      <c r="J308" s="15">
        <f t="shared" si="59"/>
        <v>0</v>
      </c>
      <c r="K308" s="15">
        <f t="shared" si="60"/>
        <v>0</v>
      </c>
      <c r="L308" s="43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</row>
  </sheetData>
  <mergeCells count="62">
    <mergeCell ref="C192:C195"/>
    <mergeCell ref="C270:C273"/>
    <mergeCell ref="C264:C265"/>
    <mergeCell ref="C296:C304"/>
    <mergeCell ref="C281:C283"/>
    <mergeCell ref="C286:C289"/>
    <mergeCell ref="E291:F291"/>
    <mergeCell ref="C140:C142"/>
    <mergeCell ref="B244:L244"/>
    <mergeCell ref="B245:B246"/>
    <mergeCell ref="C245:C246"/>
    <mergeCell ref="D245:D246"/>
    <mergeCell ref="E245:E246"/>
    <mergeCell ref="F245:F246"/>
    <mergeCell ref="G245:H245"/>
    <mergeCell ref="I245:J245"/>
    <mergeCell ref="K245:K246"/>
    <mergeCell ref="L245:L246"/>
    <mergeCell ref="C188:C189"/>
    <mergeCell ref="E248:F248"/>
    <mergeCell ref="C251:C255"/>
    <mergeCell ref="C276:C278"/>
    <mergeCell ref="B15:C15"/>
    <mergeCell ref="E15:H15"/>
    <mergeCell ref="H12:J12"/>
    <mergeCell ref="H13:J13"/>
    <mergeCell ref="H14:J14"/>
    <mergeCell ref="H9:J9"/>
    <mergeCell ref="B3:G3"/>
    <mergeCell ref="B4:G4"/>
    <mergeCell ref="H10:J10"/>
    <mergeCell ref="H11:J11"/>
    <mergeCell ref="I16:L17"/>
    <mergeCell ref="B2:L2"/>
    <mergeCell ref="B18:B19"/>
    <mergeCell ref="E18:E19"/>
    <mergeCell ref="D18:D19"/>
    <mergeCell ref="G18:H18"/>
    <mergeCell ref="H3:L3"/>
    <mergeCell ref="L18:L19"/>
    <mergeCell ref="I18:J18"/>
    <mergeCell ref="K18:K19"/>
    <mergeCell ref="C18:C19"/>
    <mergeCell ref="H5:J5"/>
    <mergeCell ref="H6:J6"/>
    <mergeCell ref="H4:L4"/>
    <mergeCell ref="H7:J7"/>
    <mergeCell ref="H8:J8"/>
    <mergeCell ref="D16:D17"/>
    <mergeCell ref="E21:F21"/>
    <mergeCell ref="B16:C17"/>
    <mergeCell ref="F18:F19"/>
    <mergeCell ref="E28:F28"/>
    <mergeCell ref="E16:H17"/>
    <mergeCell ref="C159:C160"/>
    <mergeCell ref="C182:C185"/>
    <mergeCell ref="C31:C42"/>
    <mergeCell ref="C45:C64"/>
    <mergeCell ref="C69:C129"/>
    <mergeCell ref="C132:C133"/>
    <mergeCell ref="C136:C137"/>
    <mergeCell ref="C163:C179"/>
  </mergeCells>
  <phoneticPr fontId="0" type="noConversion"/>
  <printOptions horizontalCentered="1"/>
  <pageMargins left="0.25" right="0.25" top="0.375" bottom="0.375" header="0.25" footer="0.25"/>
  <pageSetup paperSize="9" scale="80" fitToHeight="0" orientation="landscape" horizontalDpi="300" verticalDpi="300" r:id="rId1"/>
  <headerFooter alignWithMargins="0">
    <oddFooter>&amp;R&amp;"Arial,Bold"&amp;P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B2:AB338"/>
  <sheetViews>
    <sheetView showGridLines="0" showZeros="0" tabSelected="1" view="pageBreakPreview" topLeftCell="A274" zoomScaleNormal="100" zoomScaleSheetLayoutView="100" workbookViewId="0">
      <selection activeCell="F14" sqref="F14"/>
    </sheetView>
  </sheetViews>
  <sheetFormatPr defaultColWidth="9.140625" defaultRowHeight="12.75" x14ac:dyDescent="0.2"/>
  <cols>
    <col min="1" max="1" width="1" style="10" customWidth="1"/>
    <col min="2" max="2" width="6.5703125" style="10" customWidth="1"/>
    <col min="3" max="3" width="12.5703125" style="10" customWidth="1"/>
    <col min="4" max="4" width="60.5703125" style="1" customWidth="1"/>
    <col min="5" max="6" width="12.5703125" style="10" customWidth="1"/>
    <col min="7" max="8" width="12.5703125" style="13" customWidth="1"/>
    <col min="9" max="9" width="12.5703125" style="10" customWidth="1"/>
    <col min="10" max="12" width="12.5703125" style="13" customWidth="1"/>
    <col min="13" max="13" width="12.5703125" style="10" customWidth="1"/>
    <col min="14" max="16384" width="9.140625" style="10"/>
  </cols>
  <sheetData>
    <row r="2" spans="2:18" ht="21.95" customHeight="1" x14ac:dyDescent="0.2">
      <c r="B2" s="115" t="s">
        <v>0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2:18" x14ac:dyDescent="0.2">
      <c r="B3" s="93" t="s">
        <v>2</v>
      </c>
      <c r="C3" s="94"/>
      <c r="D3" s="94"/>
      <c r="E3" s="94"/>
      <c r="F3" s="94"/>
      <c r="G3" s="124"/>
      <c r="H3" s="118" t="s">
        <v>3</v>
      </c>
      <c r="I3" s="118"/>
      <c r="J3" s="118"/>
      <c r="K3" s="118"/>
      <c r="L3" s="118"/>
    </row>
    <row r="4" spans="2:18" ht="12.6" customHeight="1" x14ac:dyDescent="0.2">
      <c r="B4" s="87"/>
      <c r="C4" s="88"/>
      <c r="D4" s="88"/>
      <c r="E4" s="88"/>
      <c r="F4" s="88"/>
      <c r="G4" s="89"/>
      <c r="H4" s="123"/>
      <c r="I4" s="123"/>
      <c r="J4" s="123"/>
      <c r="K4" s="123"/>
      <c r="L4" s="123"/>
    </row>
    <row r="5" spans="2:18" ht="12.6" customHeight="1" x14ac:dyDescent="0.2">
      <c r="B5" s="35"/>
      <c r="C5" s="16"/>
      <c r="D5" s="16"/>
      <c r="E5" s="16"/>
      <c r="F5" s="16"/>
      <c r="G5" s="17"/>
      <c r="H5" s="122" t="s">
        <v>16</v>
      </c>
      <c r="I5" s="122"/>
      <c r="J5" s="122"/>
      <c r="K5" s="9"/>
      <c r="L5" s="66">
        <f>SUM(H22:H286)</f>
        <v>1964704.8274500119</v>
      </c>
    </row>
    <row r="6" spans="2:18" ht="12.6" customHeight="1" x14ac:dyDescent="0.2">
      <c r="B6" s="36"/>
      <c r="D6" s="10"/>
      <c r="G6" s="18"/>
      <c r="H6" s="122" t="s">
        <v>17</v>
      </c>
      <c r="I6" s="122"/>
      <c r="J6" s="122"/>
      <c r="K6" s="9"/>
      <c r="L6" s="66">
        <f>SUM(J22:J286)</f>
        <v>3118379.4654558748</v>
      </c>
      <c r="M6" s="68"/>
    </row>
    <row r="7" spans="2:18" ht="12.6" customHeight="1" x14ac:dyDescent="0.2">
      <c r="B7" s="36"/>
      <c r="G7" s="18"/>
      <c r="H7" s="122" t="s">
        <v>18</v>
      </c>
      <c r="I7" s="122"/>
      <c r="J7" s="122"/>
      <c r="K7" s="5"/>
      <c r="L7" s="66">
        <f>SUM(L5:L6)</f>
        <v>5083084.2929058867</v>
      </c>
      <c r="M7" s="68"/>
      <c r="N7" s="32"/>
      <c r="O7" s="32"/>
      <c r="P7" s="32"/>
      <c r="R7" s="2"/>
    </row>
    <row r="8" spans="2:18" ht="12.6" customHeight="1" x14ac:dyDescent="0.2">
      <c r="B8" s="36"/>
      <c r="G8" s="18"/>
      <c r="H8" s="122" t="s">
        <v>19</v>
      </c>
      <c r="I8" s="122"/>
      <c r="J8" s="122"/>
      <c r="K8" s="3">
        <f>Concrete!K8</f>
        <v>6.25E-2</v>
      </c>
      <c r="L8" s="66">
        <f>L5*K8</f>
        <v>122794.05171562574</v>
      </c>
      <c r="M8" s="68"/>
      <c r="R8" s="2"/>
    </row>
    <row r="9" spans="2:18" ht="12.6" customHeight="1" x14ac:dyDescent="0.2">
      <c r="B9" s="36"/>
      <c r="G9" s="18"/>
      <c r="H9" s="122" t="s">
        <v>20</v>
      </c>
      <c r="I9" s="122"/>
      <c r="J9" s="122"/>
      <c r="K9" s="3">
        <f>Concrete!K9</f>
        <v>0.1</v>
      </c>
      <c r="L9" s="66">
        <f>L6*K9</f>
        <v>311837.9465455875</v>
      </c>
      <c r="M9" s="68"/>
      <c r="N9" s="32"/>
      <c r="O9" s="32"/>
      <c r="P9" s="32"/>
      <c r="Q9" s="4"/>
      <c r="R9" s="2"/>
    </row>
    <row r="10" spans="2:18" ht="12.6" customHeight="1" x14ac:dyDescent="0.2">
      <c r="B10" s="36"/>
      <c r="D10" s="31"/>
      <c r="G10" s="18"/>
      <c r="H10" s="122" t="s">
        <v>26</v>
      </c>
      <c r="I10" s="122"/>
      <c r="J10" s="122"/>
      <c r="K10" s="3">
        <f>Concrete!K10</f>
        <v>0.25</v>
      </c>
      <c r="L10" s="66">
        <f>L7*K10</f>
        <v>1270771.0732264717</v>
      </c>
      <c r="N10" s="32"/>
      <c r="O10" s="32"/>
      <c r="P10" s="32"/>
      <c r="Q10" s="4"/>
      <c r="R10" s="2"/>
    </row>
    <row r="11" spans="2:18" ht="12.6" customHeight="1" x14ac:dyDescent="0.2">
      <c r="B11" s="36"/>
      <c r="D11" s="31"/>
      <c r="G11" s="18"/>
      <c r="H11" s="122" t="s">
        <v>21</v>
      </c>
      <c r="I11" s="122"/>
      <c r="J11" s="122"/>
      <c r="K11" s="3">
        <f>Concrete!K11</f>
        <v>0.02</v>
      </c>
      <c r="L11" s="66">
        <f>SUM(L7:L10)*K11</f>
        <v>135769.74728787143</v>
      </c>
      <c r="N11" s="32"/>
      <c r="O11" s="32"/>
      <c r="P11" s="32"/>
      <c r="Q11" s="4"/>
      <c r="R11" s="2"/>
    </row>
    <row r="12" spans="2:18" ht="12.6" customHeight="1" x14ac:dyDescent="0.2">
      <c r="B12" s="36"/>
      <c r="G12" s="18"/>
      <c r="H12" s="122" t="s">
        <v>22</v>
      </c>
      <c r="I12" s="122"/>
      <c r="J12" s="122"/>
      <c r="K12" s="3">
        <f>Concrete!K12</f>
        <v>0.05</v>
      </c>
      <c r="L12" s="66">
        <f>L7*K12</f>
        <v>254154.21464529436</v>
      </c>
      <c r="M12" s="53"/>
      <c r="N12" s="32"/>
      <c r="O12" s="32"/>
      <c r="P12" s="32"/>
      <c r="Q12" s="4"/>
      <c r="R12" s="2"/>
    </row>
    <row r="13" spans="2:18" x14ac:dyDescent="0.2">
      <c r="B13" s="37"/>
      <c r="C13" s="19"/>
      <c r="D13" s="19"/>
      <c r="E13" s="19"/>
      <c r="F13" s="19"/>
      <c r="G13" s="20"/>
      <c r="H13" s="125" t="s">
        <v>23</v>
      </c>
      <c r="I13" s="125"/>
      <c r="J13" s="125"/>
      <c r="K13" s="65"/>
      <c r="L13" s="38">
        <f>SUM(L7:L12)</f>
        <v>7178411.3263267372</v>
      </c>
      <c r="N13" s="32"/>
      <c r="O13" s="32"/>
      <c r="P13" s="32"/>
      <c r="R13" s="2"/>
    </row>
    <row r="14" spans="2:18" x14ac:dyDescent="0.2">
      <c r="B14" s="39"/>
      <c r="C14" s="32"/>
      <c r="D14" s="32"/>
      <c r="E14" s="32"/>
      <c r="F14" s="32"/>
      <c r="G14" s="33"/>
      <c r="H14" s="125" t="s">
        <v>27</v>
      </c>
      <c r="I14" s="125"/>
      <c r="J14" s="125"/>
      <c r="K14" s="65"/>
      <c r="L14" s="72">
        <v>41197.383999999998</v>
      </c>
    </row>
    <row r="15" spans="2:18" ht="12.75" customHeight="1" x14ac:dyDescent="0.2">
      <c r="B15" s="93" t="s">
        <v>25</v>
      </c>
      <c r="C15" s="94"/>
      <c r="D15" s="14" t="s">
        <v>32</v>
      </c>
      <c r="E15" s="93" t="s">
        <v>24</v>
      </c>
      <c r="F15" s="94"/>
      <c r="G15" s="94"/>
      <c r="H15" s="94"/>
      <c r="I15" s="14" t="s">
        <v>15</v>
      </c>
      <c r="J15" s="69"/>
      <c r="K15" s="69"/>
      <c r="L15" s="70"/>
    </row>
    <row r="16" spans="2:18" ht="12.75" customHeight="1" x14ac:dyDescent="0.2">
      <c r="B16" s="79">
        <v>45378</v>
      </c>
      <c r="C16" s="80"/>
      <c r="D16" s="101" t="s">
        <v>317</v>
      </c>
      <c r="E16" s="98" t="s">
        <v>63</v>
      </c>
      <c r="F16" s="80"/>
      <c r="G16" s="80"/>
      <c r="H16" s="99"/>
      <c r="I16" s="98"/>
      <c r="J16" s="80"/>
      <c r="K16" s="80"/>
      <c r="L16" s="99"/>
    </row>
    <row r="17" spans="2:28" x14ac:dyDescent="0.2">
      <c r="B17" s="81"/>
      <c r="C17" s="82"/>
      <c r="D17" s="102"/>
      <c r="E17" s="81"/>
      <c r="F17" s="82"/>
      <c r="G17" s="82"/>
      <c r="H17" s="100"/>
      <c r="I17" s="81"/>
      <c r="J17" s="82"/>
      <c r="K17" s="82"/>
      <c r="L17" s="100"/>
    </row>
    <row r="18" spans="2:28" ht="12.75" customHeight="1" x14ac:dyDescent="0.2">
      <c r="B18" s="116" t="s">
        <v>5</v>
      </c>
      <c r="C18" s="116" t="s">
        <v>31</v>
      </c>
      <c r="D18" s="114" t="s">
        <v>1</v>
      </c>
      <c r="E18" s="116" t="s">
        <v>6</v>
      </c>
      <c r="F18" s="114" t="s">
        <v>13</v>
      </c>
      <c r="G18" s="114" t="s">
        <v>12</v>
      </c>
      <c r="H18" s="117"/>
      <c r="I18" s="121" t="s">
        <v>11</v>
      </c>
      <c r="J18" s="121"/>
      <c r="K18" s="119" t="s">
        <v>4</v>
      </c>
      <c r="L18" s="119" t="s">
        <v>37</v>
      </c>
    </row>
    <row r="19" spans="2:28" ht="27.75" customHeight="1" x14ac:dyDescent="0.2">
      <c r="B19" s="114"/>
      <c r="C19" s="116"/>
      <c r="D19" s="114"/>
      <c r="E19" s="114"/>
      <c r="F19" s="114"/>
      <c r="G19" s="56" t="s">
        <v>10</v>
      </c>
      <c r="H19" s="56" t="s">
        <v>9</v>
      </c>
      <c r="I19" s="55" t="s">
        <v>10</v>
      </c>
      <c r="J19" s="56" t="s">
        <v>9</v>
      </c>
      <c r="K19" s="120"/>
      <c r="L19" s="120"/>
      <c r="M19" s="11"/>
    </row>
    <row r="20" spans="2:28" s="11" customFormat="1" x14ac:dyDescent="0.2">
      <c r="B20" s="54" t="str">
        <f>IF(F20&lt;&gt;"",1+MAX($B$2:B19),"")</f>
        <v/>
      </c>
      <c r="C20" s="25"/>
      <c r="D20" s="26"/>
      <c r="E20" s="22"/>
      <c r="F20" s="27"/>
      <c r="G20" s="28"/>
      <c r="H20" s="29"/>
      <c r="I20" s="28"/>
      <c r="J20" s="29"/>
      <c r="K20" s="30"/>
      <c r="L20" s="40"/>
    </row>
    <row r="21" spans="2:28" s="11" customFormat="1" x14ac:dyDescent="0.2">
      <c r="B21" s="12" t="str">
        <f>IF(F21&lt;&gt;"",1+MAX($B$2:B20),"")</f>
        <v/>
      </c>
      <c r="C21" s="12" t="s">
        <v>28</v>
      </c>
      <c r="D21" s="6" t="s">
        <v>7</v>
      </c>
      <c r="E21" s="113"/>
      <c r="F21" s="113"/>
      <c r="G21" s="45">
        <f>SUM(H22:H27)</f>
        <v>0</v>
      </c>
      <c r="H21" s="7">
        <f t="shared" ref="H21:H84" si="0">F21*G21</f>
        <v>0</v>
      </c>
      <c r="I21" s="45">
        <f>SUM(J22:J27)</f>
        <v>375500</v>
      </c>
      <c r="J21" s="7">
        <f t="shared" ref="J21:J84" si="1">F21*I21</f>
        <v>0</v>
      </c>
      <c r="K21" s="41">
        <f>SUM(K22:K27)</f>
        <v>375500</v>
      </c>
      <c r="L21" s="41">
        <f>(K21)+(G21*$K$8)+(I21*$K$9)+(K21*$K$10)+($K$11*((K21)+(G21*$K$8)+(I21*$K$9)+(K21*$K$10)))+(K21*$K$12)</f>
        <v>535838.5</v>
      </c>
    </row>
    <row r="22" spans="2:28" x14ac:dyDescent="0.2">
      <c r="B22" s="42"/>
      <c r="C22" s="46"/>
      <c r="D22" s="8"/>
      <c r="E22" s="21"/>
      <c r="F22" s="24"/>
      <c r="G22" s="15">
        <v>0</v>
      </c>
      <c r="H22" s="15">
        <f t="shared" si="0"/>
        <v>0</v>
      </c>
      <c r="I22" s="15">
        <v>0</v>
      </c>
      <c r="J22" s="15">
        <f t="shared" si="1"/>
        <v>0</v>
      </c>
      <c r="K22" s="15">
        <f t="shared" ref="K22:K27" si="2">H22+J22</f>
        <v>0</v>
      </c>
      <c r="L22" s="43"/>
      <c r="M22" s="11"/>
    </row>
    <row r="23" spans="2:28" s="11" customFormat="1" x14ac:dyDescent="0.2">
      <c r="B23" s="42">
        <f>IF(F23&lt;&gt;"",1+MAX($B$22:B22),"")</f>
        <v>1</v>
      </c>
      <c r="C23" s="46"/>
      <c r="D23" s="8" t="s">
        <v>368</v>
      </c>
      <c r="E23" s="21" t="s">
        <v>33</v>
      </c>
      <c r="F23" s="34">
        <v>1</v>
      </c>
      <c r="G23" s="67">
        <v>0</v>
      </c>
      <c r="H23" s="67">
        <f t="shared" si="0"/>
        <v>0</v>
      </c>
      <c r="I23" s="15">
        <v>5500</v>
      </c>
      <c r="J23" s="15">
        <f t="shared" si="1"/>
        <v>5500</v>
      </c>
      <c r="K23" s="15">
        <f t="shared" si="2"/>
        <v>5500</v>
      </c>
      <c r="L23" s="43"/>
      <c r="M23" s="73"/>
    </row>
    <row r="24" spans="2:28" s="11" customFormat="1" x14ac:dyDescent="0.2">
      <c r="B24" s="42">
        <f>IF(F24&lt;&gt;"",1+MAX($B$22:B23),"")</f>
        <v>2</v>
      </c>
      <c r="C24" s="46"/>
      <c r="D24" s="8" t="s">
        <v>369</v>
      </c>
      <c r="E24" s="21" t="s">
        <v>33</v>
      </c>
      <c r="F24" s="34">
        <v>1</v>
      </c>
      <c r="G24" s="67">
        <v>0</v>
      </c>
      <c r="H24" s="67">
        <f t="shared" si="0"/>
        <v>0</v>
      </c>
      <c r="I24" s="15">
        <v>245000</v>
      </c>
      <c r="J24" s="15">
        <f t="shared" si="1"/>
        <v>245000</v>
      </c>
      <c r="K24" s="15">
        <f t="shared" si="2"/>
        <v>245000</v>
      </c>
      <c r="L24" s="43"/>
      <c r="M24" s="73"/>
    </row>
    <row r="25" spans="2:28" s="11" customFormat="1" x14ac:dyDescent="0.2">
      <c r="B25" s="42">
        <f>IF(F25&lt;&gt;"",1+MAX($B$22:B24),"")</f>
        <v>3</v>
      </c>
      <c r="C25" s="46"/>
      <c r="D25" s="8" t="s">
        <v>370</v>
      </c>
      <c r="E25" s="21" t="s">
        <v>33</v>
      </c>
      <c r="F25" s="34">
        <v>1</v>
      </c>
      <c r="G25" s="67">
        <v>0</v>
      </c>
      <c r="H25" s="67">
        <f t="shared" si="0"/>
        <v>0</v>
      </c>
      <c r="I25" s="15">
        <v>95500</v>
      </c>
      <c r="J25" s="15">
        <f t="shared" si="1"/>
        <v>95500</v>
      </c>
      <c r="K25" s="15">
        <f t="shared" si="2"/>
        <v>95500</v>
      </c>
      <c r="L25" s="43"/>
      <c r="M25" s="73"/>
    </row>
    <row r="26" spans="2:28" s="11" customFormat="1" x14ac:dyDescent="0.2">
      <c r="B26" s="42">
        <f>IF(F26&lt;&gt;"",1+MAX($B$22:B25),"")</f>
        <v>4</v>
      </c>
      <c r="C26" s="46"/>
      <c r="D26" s="8" t="s">
        <v>371</v>
      </c>
      <c r="E26" s="21" t="s">
        <v>33</v>
      </c>
      <c r="F26" s="34">
        <v>1</v>
      </c>
      <c r="G26" s="67">
        <v>0</v>
      </c>
      <c r="H26" s="67">
        <f t="shared" si="0"/>
        <v>0</v>
      </c>
      <c r="I26" s="15">
        <v>29500</v>
      </c>
      <c r="J26" s="15">
        <f t="shared" si="1"/>
        <v>29500</v>
      </c>
      <c r="K26" s="15">
        <f t="shared" si="2"/>
        <v>29500</v>
      </c>
      <c r="L26" s="43"/>
      <c r="M26" s="73"/>
    </row>
    <row r="27" spans="2:28" s="11" customFormat="1" x14ac:dyDescent="0.2">
      <c r="B27" s="42" t="str">
        <f>IF(F27&lt;&gt;"",1+MAX($B$22:B22),"")</f>
        <v/>
      </c>
      <c r="C27" s="46"/>
      <c r="D27" s="8"/>
      <c r="E27" s="21"/>
      <c r="F27" s="34"/>
      <c r="G27" s="15">
        <v>0</v>
      </c>
      <c r="H27" s="15">
        <f t="shared" si="0"/>
        <v>0</v>
      </c>
      <c r="I27" s="15">
        <v>0</v>
      </c>
      <c r="J27" s="15">
        <f t="shared" si="1"/>
        <v>0</v>
      </c>
      <c r="K27" s="15">
        <f t="shared" si="2"/>
        <v>0</v>
      </c>
      <c r="L27" s="43"/>
    </row>
    <row r="28" spans="2:28" s="11" customFormat="1" ht="12.75" customHeight="1" x14ac:dyDescent="0.2">
      <c r="B28" s="12" t="str">
        <f>IF(F28&lt;&gt;"",1+MAX($B$22:B27),"")</f>
        <v/>
      </c>
      <c r="C28" s="12" t="s">
        <v>30</v>
      </c>
      <c r="D28" s="6" t="s">
        <v>14</v>
      </c>
      <c r="E28" s="113"/>
      <c r="F28" s="113"/>
      <c r="G28" s="45">
        <f>SUM(H29:H218)</f>
        <v>1538030.6204694449</v>
      </c>
      <c r="H28" s="7">
        <f t="shared" si="0"/>
        <v>0</v>
      </c>
      <c r="I28" s="45">
        <f>SUM(J29:J218)</f>
        <v>2012384.2933188209</v>
      </c>
      <c r="J28" s="7">
        <f t="shared" si="1"/>
        <v>0</v>
      </c>
      <c r="K28" s="41">
        <f>SUM(K29:K218)</f>
        <v>3550414.9137882642</v>
      </c>
      <c r="L28" s="41">
        <f>(K28)+(G28*$K$8)+(I28*$K$9)+(K28*$K$10)+($K$11*((K28)+(G28*$K$8)+(I28*$K$9)+(K28*$K$10)))+(K28*$K$12)</f>
        <v>5007612.4107428966</v>
      </c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2:28" x14ac:dyDescent="0.2">
      <c r="B29" s="42" t="str">
        <f>IF(F29&lt;&gt;"",1+MAX($B$22:B28),"")</f>
        <v/>
      </c>
      <c r="C29" s="46"/>
      <c r="D29" s="8"/>
      <c r="E29" s="21"/>
      <c r="F29" s="34"/>
      <c r="G29" s="15">
        <v>0</v>
      </c>
      <c r="H29" s="15">
        <f t="shared" si="0"/>
        <v>0</v>
      </c>
      <c r="I29" s="15">
        <v>0</v>
      </c>
      <c r="J29" s="15">
        <f t="shared" si="1"/>
        <v>0</v>
      </c>
      <c r="K29" s="15">
        <f t="shared" ref="K29:K60" si="3">H29+J29</f>
        <v>0</v>
      </c>
      <c r="L29" s="43"/>
      <c r="M29" s="11"/>
    </row>
    <row r="30" spans="2:28" x14ac:dyDescent="0.2">
      <c r="B30" s="57" t="str">
        <f>IF(F30&lt;&gt;"",1+MAX($B$22:B29),"")</f>
        <v/>
      </c>
      <c r="C30" s="58"/>
      <c r="D30" s="59" t="s">
        <v>110</v>
      </c>
      <c r="E30" s="21"/>
      <c r="F30" s="34"/>
      <c r="G30" s="15">
        <v>0</v>
      </c>
      <c r="H30" s="15">
        <f t="shared" si="0"/>
        <v>0</v>
      </c>
      <c r="I30" s="15">
        <v>0</v>
      </c>
      <c r="J30" s="15">
        <f t="shared" si="1"/>
        <v>0</v>
      </c>
      <c r="K30" s="15">
        <f t="shared" si="3"/>
        <v>0</v>
      </c>
      <c r="L30" s="43"/>
    </row>
    <row r="31" spans="2:28" x14ac:dyDescent="0.2">
      <c r="B31" s="42">
        <f>IF(F31&lt;&gt;"",1+MAX($B$22:B30),"")</f>
        <v>5</v>
      </c>
      <c r="C31" s="112" t="s">
        <v>211</v>
      </c>
      <c r="D31" s="8" t="s">
        <v>152</v>
      </c>
      <c r="E31" s="21" t="s">
        <v>44</v>
      </c>
      <c r="F31" s="34">
        <v>2369</v>
      </c>
      <c r="G31" s="15">
        <v>0.78943000000000008</v>
      </c>
      <c r="H31" s="15">
        <f t="shared" si="0"/>
        <v>1870.1596700000002</v>
      </c>
      <c r="I31" s="15">
        <v>0.60323900000000008</v>
      </c>
      <c r="J31" s="15">
        <f t="shared" si="1"/>
        <v>1429.0731910000002</v>
      </c>
      <c r="K31" s="15">
        <f t="shared" si="3"/>
        <v>3299.2328610000004</v>
      </c>
      <c r="L31" s="43"/>
    </row>
    <row r="32" spans="2:28" x14ac:dyDescent="0.2">
      <c r="B32" s="42">
        <f>IF(F32&lt;&gt;"",1+MAX($B$22:B31),"")</f>
        <v>6</v>
      </c>
      <c r="C32" s="112"/>
      <c r="D32" s="8" t="s">
        <v>171</v>
      </c>
      <c r="E32" s="21" t="s">
        <v>44</v>
      </c>
      <c r="F32" s="34">
        <v>1645</v>
      </c>
      <c r="G32" s="15">
        <v>0.84265000000000001</v>
      </c>
      <c r="H32" s="15">
        <f t="shared" si="0"/>
        <v>1386.1592499999999</v>
      </c>
      <c r="I32" s="15">
        <v>0.66356289999999996</v>
      </c>
      <c r="J32" s="15">
        <f t="shared" si="1"/>
        <v>1091.5609704999999</v>
      </c>
      <c r="K32" s="15">
        <f t="shared" si="3"/>
        <v>2477.7202204999999</v>
      </c>
      <c r="L32" s="43"/>
    </row>
    <row r="33" spans="2:12" x14ac:dyDescent="0.2">
      <c r="B33" s="42" t="str">
        <f>IF(F33&lt;&gt;"",1+MAX($B$22:B32),"")</f>
        <v/>
      </c>
      <c r="C33" s="46"/>
      <c r="D33" s="42"/>
      <c r="E33" s="46"/>
      <c r="F33" s="34"/>
      <c r="G33" s="15">
        <v>0</v>
      </c>
      <c r="H33" s="15">
        <f t="shared" si="0"/>
        <v>0</v>
      </c>
      <c r="I33" s="15">
        <v>0</v>
      </c>
      <c r="J33" s="15">
        <f t="shared" si="1"/>
        <v>0</v>
      </c>
      <c r="K33" s="15">
        <f t="shared" si="3"/>
        <v>0</v>
      </c>
      <c r="L33" s="43"/>
    </row>
    <row r="34" spans="2:12" x14ac:dyDescent="0.2">
      <c r="B34" s="57" t="str">
        <f>IF(F34&lt;&gt;"",1+MAX($B$22:B33),"")</f>
        <v/>
      </c>
      <c r="C34" s="58"/>
      <c r="D34" s="59" t="s">
        <v>61</v>
      </c>
      <c r="E34" s="21"/>
      <c r="F34" s="34"/>
      <c r="G34" s="15">
        <v>0</v>
      </c>
      <c r="H34" s="15">
        <f t="shared" si="0"/>
        <v>0</v>
      </c>
      <c r="I34" s="15">
        <v>0</v>
      </c>
      <c r="J34" s="15">
        <f t="shared" si="1"/>
        <v>0</v>
      </c>
      <c r="K34" s="15">
        <f t="shared" si="3"/>
        <v>0</v>
      </c>
      <c r="L34" s="43"/>
    </row>
    <row r="35" spans="2:12" x14ac:dyDescent="0.2">
      <c r="B35" s="42">
        <f>IF(F35&lt;&gt;"",1+MAX($B$22:B34),"")</f>
        <v>7</v>
      </c>
      <c r="C35" s="46" t="s">
        <v>211</v>
      </c>
      <c r="D35" s="8" t="s">
        <v>90</v>
      </c>
      <c r="E35" s="21" t="s">
        <v>44</v>
      </c>
      <c r="F35" s="34">
        <v>11383</v>
      </c>
      <c r="G35" s="15">
        <v>0.86038999999999999</v>
      </c>
      <c r="H35" s="15">
        <f t="shared" si="0"/>
        <v>9793.8193699999993</v>
      </c>
      <c r="I35" s="15">
        <v>0.84453460000000002</v>
      </c>
      <c r="J35" s="15">
        <f t="shared" si="1"/>
        <v>9613.3373518000008</v>
      </c>
      <c r="K35" s="15">
        <f t="shared" si="3"/>
        <v>19407.156721799998</v>
      </c>
      <c r="L35" s="43"/>
    </row>
    <row r="36" spans="2:12" x14ac:dyDescent="0.2">
      <c r="B36" s="42" t="str">
        <f>IF(F36&lt;&gt;"",1+MAX($B$22:B35),"")</f>
        <v/>
      </c>
      <c r="C36" s="46"/>
      <c r="D36" s="8"/>
      <c r="E36" s="46"/>
      <c r="F36" s="34"/>
      <c r="G36" s="15">
        <v>0</v>
      </c>
      <c r="H36" s="15">
        <f t="shared" si="0"/>
        <v>0</v>
      </c>
      <c r="I36" s="15">
        <v>0</v>
      </c>
      <c r="J36" s="15">
        <f t="shared" si="1"/>
        <v>0</v>
      </c>
      <c r="K36" s="15">
        <f t="shared" si="3"/>
        <v>0</v>
      </c>
      <c r="L36" s="43"/>
    </row>
    <row r="37" spans="2:12" x14ac:dyDescent="0.2">
      <c r="B37" s="57" t="str">
        <f>IF(F37&lt;&gt;"",1+MAX($B$22:B36),"")</f>
        <v/>
      </c>
      <c r="C37" s="58"/>
      <c r="D37" s="59" t="s">
        <v>72</v>
      </c>
      <c r="E37" s="21"/>
      <c r="F37" s="34"/>
      <c r="G37" s="15">
        <v>0</v>
      </c>
      <c r="H37" s="15">
        <f t="shared" si="0"/>
        <v>0</v>
      </c>
      <c r="I37" s="15">
        <v>0</v>
      </c>
      <c r="J37" s="15">
        <f t="shared" si="1"/>
        <v>0</v>
      </c>
      <c r="K37" s="15">
        <f t="shared" si="3"/>
        <v>0</v>
      </c>
      <c r="L37" s="43"/>
    </row>
    <row r="38" spans="2:12" x14ac:dyDescent="0.2">
      <c r="B38" s="42">
        <f>IF(F38&lt;&gt;"",1+MAX($B$22:B37),"")</f>
        <v>8</v>
      </c>
      <c r="C38" s="112" t="s">
        <v>211</v>
      </c>
      <c r="D38" s="8" t="s">
        <v>73</v>
      </c>
      <c r="E38" s="46" t="s">
        <v>44</v>
      </c>
      <c r="F38" s="34">
        <v>23581</v>
      </c>
      <c r="G38" s="15">
        <v>0.86038999999999999</v>
      </c>
      <c r="H38" s="15">
        <f t="shared" si="0"/>
        <v>20288.856589999999</v>
      </c>
      <c r="I38" s="15">
        <v>0.84453460000000002</v>
      </c>
      <c r="J38" s="15">
        <f t="shared" si="1"/>
        <v>19914.9704026</v>
      </c>
      <c r="K38" s="15">
        <f t="shared" si="3"/>
        <v>40203.826992599999</v>
      </c>
      <c r="L38" s="43"/>
    </row>
    <row r="39" spans="2:12" x14ac:dyDescent="0.2">
      <c r="B39" s="42">
        <f>IF(F39&lt;&gt;"",1+MAX($B$22:B38),"")</f>
        <v>9</v>
      </c>
      <c r="C39" s="112"/>
      <c r="D39" s="8" t="s">
        <v>97</v>
      </c>
      <c r="E39" s="46" t="s">
        <v>44</v>
      </c>
      <c r="F39" s="34">
        <v>255</v>
      </c>
      <c r="G39" s="15">
        <v>1.5079</v>
      </c>
      <c r="H39" s="15">
        <f t="shared" si="0"/>
        <v>384.5145</v>
      </c>
      <c r="I39" s="15">
        <v>1.5684214000000001</v>
      </c>
      <c r="J39" s="15">
        <f t="shared" si="1"/>
        <v>399.94745700000004</v>
      </c>
      <c r="K39" s="15">
        <f t="shared" si="3"/>
        <v>784.46195699999998</v>
      </c>
      <c r="L39" s="43"/>
    </row>
    <row r="40" spans="2:12" x14ac:dyDescent="0.2">
      <c r="B40" s="42" t="str">
        <f>IF(F40&lt;&gt;"",1+MAX($B$22:B39),"")</f>
        <v/>
      </c>
      <c r="C40" s="46"/>
      <c r="D40" s="42"/>
      <c r="E40" s="46"/>
      <c r="F40" s="34"/>
      <c r="G40" s="15">
        <v>0</v>
      </c>
      <c r="H40" s="15">
        <f t="shared" si="0"/>
        <v>0</v>
      </c>
      <c r="I40" s="15">
        <v>0</v>
      </c>
      <c r="J40" s="15">
        <f t="shared" si="1"/>
        <v>0</v>
      </c>
      <c r="K40" s="15">
        <f t="shared" si="3"/>
        <v>0</v>
      </c>
      <c r="L40" s="43"/>
    </row>
    <row r="41" spans="2:12" x14ac:dyDescent="0.2">
      <c r="B41" s="57" t="str">
        <f>IF(F41&lt;&gt;"",1+MAX($B$22:B40),"")</f>
        <v/>
      </c>
      <c r="C41" s="58"/>
      <c r="D41" s="59" t="s">
        <v>62</v>
      </c>
      <c r="E41" s="21"/>
      <c r="F41" s="34"/>
      <c r="G41" s="15">
        <v>0</v>
      </c>
      <c r="H41" s="15">
        <f t="shared" si="0"/>
        <v>0</v>
      </c>
      <c r="I41" s="15">
        <v>0</v>
      </c>
      <c r="J41" s="15">
        <f t="shared" si="1"/>
        <v>0</v>
      </c>
      <c r="K41" s="15">
        <f t="shared" si="3"/>
        <v>0</v>
      </c>
      <c r="L41" s="43"/>
    </row>
    <row r="42" spans="2:12" x14ac:dyDescent="0.2">
      <c r="B42" s="42">
        <f>IF(F42&lt;&gt;"",1+MAX($B$22:B41),"")</f>
        <v>10</v>
      </c>
      <c r="C42" s="112" t="s">
        <v>211</v>
      </c>
      <c r="D42" s="8" t="s">
        <v>153</v>
      </c>
      <c r="E42" s="47" t="s">
        <v>44</v>
      </c>
      <c r="F42" s="60">
        <f>132830+83680</f>
        <v>216510</v>
      </c>
      <c r="G42" s="15">
        <v>0.78943000000000008</v>
      </c>
      <c r="H42" s="15">
        <f t="shared" si="0"/>
        <v>170919.48930000002</v>
      </c>
      <c r="I42" s="15">
        <v>0.60323900000000008</v>
      </c>
      <c r="J42" s="15">
        <f t="shared" si="1"/>
        <v>130607.27589000002</v>
      </c>
      <c r="K42" s="15">
        <f t="shared" si="3"/>
        <v>301526.76519000006</v>
      </c>
      <c r="L42" s="43"/>
    </row>
    <row r="43" spans="2:12" x14ac:dyDescent="0.2">
      <c r="B43" s="42">
        <f>IF(F43&lt;&gt;"",1+MAX($B$22:B42),"")</f>
        <v>11</v>
      </c>
      <c r="C43" s="112"/>
      <c r="D43" s="8" t="s">
        <v>154</v>
      </c>
      <c r="E43" s="47" t="s">
        <v>44</v>
      </c>
      <c r="F43" s="60">
        <v>83680</v>
      </c>
      <c r="G43" s="15">
        <v>0.86038999999999999</v>
      </c>
      <c r="H43" s="15">
        <f t="shared" si="0"/>
        <v>71997.435199999993</v>
      </c>
      <c r="I43" s="15">
        <v>0.84453460000000002</v>
      </c>
      <c r="J43" s="15">
        <f t="shared" si="1"/>
        <v>70670.655328000008</v>
      </c>
      <c r="K43" s="15">
        <f t="shared" si="3"/>
        <v>142668.090528</v>
      </c>
      <c r="L43" s="43"/>
    </row>
    <row r="44" spans="2:12" x14ac:dyDescent="0.2">
      <c r="B44" s="42">
        <f>IF(F44&lt;&gt;"",1+MAX($B$22:B43),"")</f>
        <v>12</v>
      </c>
      <c r="C44" s="112"/>
      <c r="D44" s="8" t="s">
        <v>155</v>
      </c>
      <c r="E44" s="47" t="s">
        <v>44</v>
      </c>
      <c r="F44" s="60">
        <v>132830</v>
      </c>
      <c r="G44" s="15">
        <v>1.3393699999999999</v>
      </c>
      <c r="H44" s="15">
        <f t="shared" si="0"/>
        <v>177908.5171</v>
      </c>
      <c r="I44" s="15">
        <v>1.5080975000000001</v>
      </c>
      <c r="J44" s="15">
        <f t="shared" si="1"/>
        <v>200320.59092500003</v>
      </c>
      <c r="K44" s="15">
        <f t="shared" si="3"/>
        <v>378229.10802500002</v>
      </c>
      <c r="L44" s="43"/>
    </row>
    <row r="45" spans="2:12" x14ac:dyDescent="0.2">
      <c r="B45" s="42" t="str">
        <f>IF(F45&lt;&gt;"",1+MAX($B$22:B44),"")</f>
        <v/>
      </c>
      <c r="C45" s="46"/>
      <c r="D45" s="8"/>
      <c r="E45" s="21"/>
      <c r="F45" s="60"/>
      <c r="G45" s="15">
        <v>0</v>
      </c>
      <c r="H45" s="15">
        <f t="shared" si="0"/>
        <v>0</v>
      </c>
      <c r="I45" s="15">
        <v>0</v>
      </c>
      <c r="J45" s="15">
        <f t="shared" si="1"/>
        <v>0</v>
      </c>
      <c r="K45" s="15">
        <f t="shared" si="3"/>
        <v>0</v>
      </c>
      <c r="L45" s="43"/>
    </row>
    <row r="46" spans="2:12" x14ac:dyDescent="0.2">
      <c r="B46" s="57" t="str">
        <f>IF(F46&lt;&gt;"",1+MAX($B$22:B45),"")</f>
        <v/>
      </c>
      <c r="C46" s="58"/>
      <c r="D46" s="59" t="s">
        <v>60</v>
      </c>
      <c r="E46" s="21"/>
      <c r="F46" s="34"/>
      <c r="G46" s="15">
        <v>0</v>
      </c>
      <c r="H46" s="15">
        <f t="shared" si="0"/>
        <v>0</v>
      </c>
      <c r="I46" s="15">
        <v>0</v>
      </c>
      <c r="J46" s="15">
        <f t="shared" si="1"/>
        <v>0</v>
      </c>
      <c r="K46" s="15">
        <f t="shared" si="3"/>
        <v>0</v>
      </c>
      <c r="L46" s="43"/>
    </row>
    <row r="47" spans="2:12" x14ac:dyDescent="0.2">
      <c r="B47" s="42">
        <f>IF(F47&lt;&gt;"",1+MAX($B$22:B46),"")</f>
        <v>13</v>
      </c>
      <c r="C47" s="112" t="s">
        <v>243</v>
      </c>
      <c r="D47" s="8" t="s">
        <v>304</v>
      </c>
      <c r="E47" s="21" t="s">
        <v>44</v>
      </c>
      <c r="F47" s="34">
        <f>45231-661+661*2.83-298</f>
        <v>46142.63</v>
      </c>
      <c r="G47" s="15">
        <v>1.0200499999999999</v>
      </c>
      <c r="H47" s="15">
        <f t="shared" si="0"/>
        <v>47067.789731499994</v>
      </c>
      <c r="I47" s="15">
        <v>1.3271257999999999</v>
      </c>
      <c r="J47" s="15">
        <f t="shared" si="1"/>
        <v>61237.074752853994</v>
      </c>
      <c r="K47" s="15">
        <f t="shared" si="3"/>
        <v>108304.86448435398</v>
      </c>
      <c r="L47" s="43"/>
    </row>
    <row r="48" spans="2:12" x14ac:dyDescent="0.2">
      <c r="B48" s="42">
        <f>IF(F48&lt;&gt;"",1+MAX($B$22:B47),"")</f>
        <v>14</v>
      </c>
      <c r="C48" s="112"/>
      <c r="D48" s="8" t="s">
        <v>305</v>
      </c>
      <c r="E48" s="21" t="s">
        <v>44</v>
      </c>
      <c r="F48" s="34">
        <v>298</v>
      </c>
      <c r="G48" s="15">
        <v>1.0200499999999999</v>
      </c>
      <c r="H48" s="15">
        <f t="shared" si="0"/>
        <v>303.97489999999999</v>
      </c>
      <c r="I48" s="15">
        <v>1.3271257999999999</v>
      </c>
      <c r="J48" s="15">
        <f t="shared" si="1"/>
        <v>395.4834884</v>
      </c>
      <c r="K48" s="15">
        <f t="shared" si="3"/>
        <v>699.45838839999999</v>
      </c>
      <c r="L48" s="43"/>
    </row>
    <row r="49" spans="2:13" x14ac:dyDescent="0.2">
      <c r="B49" s="42">
        <f>IF(F49&lt;&gt;"",1+MAX($B$22:B48),"")</f>
        <v>15</v>
      </c>
      <c r="C49" s="112"/>
      <c r="D49" s="8" t="s">
        <v>306</v>
      </c>
      <c r="E49" s="21" t="s">
        <v>44</v>
      </c>
      <c r="F49" s="34">
        <v>7138</v>
      </c>
      <c r="G49" s="15">
        <v>0.84265000000000001</v>
      </c>
      <c r="H49" s="15">
        <f t="shared" si="0"/>
        <v>6014.8356999999996</v>
      </c>
      <c r="I49" s="15">
        <v>0.66356289999999996</v>
      </c>
      <c r="J49" s="15">
        <f t="shared" si="1"/>
        <v>4736.5119801999999</v>
      </c>
      <c r="K49" s="15">
        <f t="shared" si="3"/>
        <v>10751.3476802</v>
      </c>
      <c r="L49" s="43"/>
    </row>
    <row r="50" spans="2:13" x14ac:dyDescent="0.2">
      <c r="B50" s="42" t="str">
        <f>IF(F50&lt;&gt;"",1+MAX($B$22:B49),"")</f>
        <v/>
      </c>
      <c r="C50" s="46"/>
      <c r="D50" s="42"/>
      <c r="E50" s="46"/>
      <c r="F50" s="34"/>
      <c r="G50" s="15">
        <v>0</v>
      </c>
      <c r="H50" s="15">
        <f t="shared" si="0"/>
        <v>0</v>
      </c>
      <c r="I50" s="15">
        <v>0</v>
      </c>
      <c r="J50" s="15">
        <f t="shared" si="1"/>
        <v>0</v>
      </c>
      <c r="K50" s="15">
        <f t="shared" si="3"/>
        <v>0</v>
      </c>
      <c r="L50" s="43"/>
    </row>
    <row r="51" spans="2:13" x14ac:dyDescent="0.2">
      <c r="B51" s="57" t="str">
        <f>IF(F51&lt;&gt;"",1+MAX($B$22:B50),"")</f>
        <v/>
      </c>
      <c r="C51" s="58"/>
      <c r="D51" s="59" t="s">
        <v>307</v>
      </c>
      <c r="E51" s="21"/>
      <c r="F51" s="34"/>
      <c r="G51" s="15">
        <v>0</v>
      </c>
      <c r="H51" s="15">
        <f t="shared" si="0"/>
        <v>0</v>
      </c>
      <c r="I51" s="15">
        <v>0</v>
      </c>
      <c r="J51" s="15">
        <f t="shared" si="1"/>
        <v>0</v>
      </c>
      <c r="K51" s="15">
        <f t="shared" si="3"/>
        <v>0</v>
      </c>
      <c r="L51" s="43"/>
    </row>
    <row r="52" spans="2:13" x14ac:dyDescent="0.2">
      <c r="B52" s="42" t="str">
        <f>IF(F52&lt;&gt;"",1+MAX($B$22:B51),"")</f>
        <v/>
      </c>
      <c r="C52" s="112" t="s">
        <v>243</v>
      </c>
      <c r="D52" s="8"/>
      <c r="E52" s="21"/>
      <c r="F52" s="34"/>
      <c r="G52" s="15">
        <v>0</v>
      </c>
      <c r="H52" s="15">
        <f t="shared" si="0"/>
        <v>0</v>
      </c>
      <c r="I52" s="15">
        <v>0</v>
      </c>
      <c r="J52" s="15">
        <f t="shared" si="1"/>
        <v>0</v>
      </c>
      <c r="K52" s="15">
        <f t="shared" si="3"/>
        <v>0</v>
      </c>
      <c r="L52" s="43"/>
    </row>
    <row r="53" spans="2:13" x14ac:dyDescent="0.2">
      <c r="B53" s="42" t="str">
        <f>IF(F53&lt;&gt;"",1+MAX($B$22:B52),"")</f>
        <v/>
      </c>
      <c r="C53" s="112"/>
      <c r="D53" s="44" t="s">
        <v>308</v>
      </c>
      <c r="E53" s="21"/>
      <c r="F53" s="24"/>
      <c r="G53" s="15">
        <v>0</v>
      </c>
      <c r="H53" s="15">
        <f t="shared" si="0"/>
        <v>0</v>
      </c>
      <c r="I53" s="15">
        <v>0</v>
      </c>
      <c r="J53" s="15">
        <f t="shared" si="1"/>
        <v>0</v>
      </c>
      <c r="K53" s="15">
        <f t="shared" si="3"/>
        <v>0</v>
      </c>
      <c r="L53" s="43"/>
      <c r="M53" s="11"/>
    </row>
    <row r="54" spans="2:13" x14ac:dyDescent="0.2">
      <c r="B54" s="42">
        <f>IF(F54&lt;&gt;"",1+MAX($B$22:B53),"")</f>
        <v>16</v>
      </c>
      <c r="C54" s="112"/>
      <c r="D54" s="8" t="s">
        <v>309</v>
      </c>
      <c r="E54" s="21" t="s">
        <v>45</v>
      </c>
      <c r="F54" s="61">
        <f>11913/27+1926/27</f>
        <v>512.55555555555554</v>
      </c>
      <c r="G54" s="67">
        <v>0</v>
      </c>
      <c r="H54" s="67">
        <f t="shared" si="0"/>
        <v>0</v>
      </c>
      <c r="I54" s="15">
        <v>36.418436600000007</v>
      </c>
      <c r="J54" s="15">
        <f t="shared" si="1"/>
        <v>18666.472003977782</v>
      </c>
      <c r="K54" s="15">
        <f t="shared" si="3"/>
        <v>18666.472003977782</v>
      </c>
      <c r="L54" s="43"/>
      <c r="M54" s="11"/>
    </row>
    <row r="55" spans="2:13" x14ac:dyDescent="0.2">
      <c r="B55" s="42">
        <f>IF(F55&lt;&gt;"",1+MAX($B$22:B54),"")</f>
        <v>17</v>
      </c>
      <c r="C55" s="112"/>
      <c r="D55" s="8" t="s">
        <v>310</v>
      </c>
      <c r="E55" s="21" t="s">
        <v>45</v>
      </c>
      <c r="F55" s="61">
        <f>F54-F56</f>
        <v>246.88518518518515</v>
      </c>
      <c r="G55" s="67">
        <v>0</v>
      </c>
      <c r="H55" s="67">
        <f t="shared" si="0"/>
        <v>0</v>
      </c>
      <c r="I55" s="15">
        <v>19.362379400000002</v>
      </c>
      <c r="J55" s="15">
        <f t="shared" si="1"/>
        <v>4780.2846237948143</v>
      </c>
      <c r="K55" s="15">
        <f t="shared" si="3"/>
        <v>4780.2846237948143</v>
      </c>
      <c r="L55" s="43"/>
    </row>
    <row r="56" spans="2:13" x14ac:dyDescent="0.2">
      <c r="B56" s="42">
        <f>IF(F56&lt;&gt;"",1+MAX($B$22:B55),"")</f>
        <v>18</v>
      </c>
      <c r="C56" s="112"/>
      <c r="D56" s="8" t="s">
        <v>59</v>
      </c>
      <c r="E56" s="21" t="s">
        <v>45</v>
      </c>
      <c r="F56" s="61">
        <f>240.3+685/27</f>
        <v>265.67037037037039</v>
      </c>
      <c r="G56" s="67">
        <v>0</v>
      </c>
      <c r="H56" s="67">
        <f t="shared" si="0"/>
        <v>0</v>
      </c>
      <c r="I56" s="15">
        <v>9.9225490000000001</v>
      </c>
      <c r="J56" s="15">
        <f t="shared" si="1"/>
        <v>2636.1272678481482</v>
      </c>
      <c r="K56" s="15">
        <f t="shared" si="3"/>
        <v>2636.1272678481482</v>
      </c>
      <c r="L56" s="43"/>
      <c r="M56" s="11"/>
    </row>
    <row r="57" spans="2:13" x14ac:dyDescent="0.2">
      <c r="B57" s="42">
        <f>IF(F57&lt;&gt;"",1+MAX($B$22:B56),"")</f>
        <v>19</v>
      </c>
      <c r="C57" s="112"/>
      <c r="D57" s="8" t="s">
        <v>363</v>
      </c>
      <c r="E57" s="21" t="s">
        <v>364</v>
      </c>
      <c r="F57" s="61">
        <f>F56/60*3</f>
        <v>13.28351851851852</v>
      </c>
      <c r="G57" s="67">
        <v>0</v>
      </c>
      <c r="H57" s="67">
        <f t="shared" si="0"/>
        <v>0</v>
      </c>
      <c r="I57" s="15">
        <v>130</v>
      </c>
      <c r="J57" s="15">
        <f t="shared" si="1"/>
        <v>1726.8574074074077</v>
      </c>
      <c r="K57" s="15">
        <f t="shared" si="3"/>
        <v>1726.8574074074077</v>
      </c>
      <c r="L57" s="43"/>
      <c r="M57" s="11"/>
    </row>
    <row r="58" spans="2:13" x14ac:dyDescent="0.2">
      <c r="B58" s="42" t="str">
        <f>IF(F58&lt;&gt;"",1+MAX($B$22:B56),"")</f>
        <v/>
      </c>
      <c r="C58" s="112"/>
      <c r="D58" s="8"/>
      <c r="E58" s="21"/>
      <c r="F58" s="34"/>
      <c r="G58" s="15">
        <v>0</v>
      </c>
      <c r="H58" s="15">
        <f t="shared" si="0"/>
        <v>0</v>
      </c>
      <c r="I58" s="15">
        <v>0</v>
      </c>
      <c r="J58" s="15">
        <f t="shared" si="1"/>
        <v>0</v>
      </c>
      <c r="K58" s="15">
        <f t="shared" si="3"/>
        <v>0</v>
      </c>
      <c r="L58" s="43"/>
    </row>
    <row r="59" spans="2:13" x14ac:dyDescent="0.2">
      <c r="B59" s="42" t="str">
        <f>IF(F59&lt;&gt;"",1+MAX($B$22:B58),"")</f>
        <v/>
      </c>
      <c r="C59" s="112"/>
      <c r="D59" s="44" t="s">
        <v>311</v>
      </c>
      <c r="E59" s="21"/>
      <c r="F59" s="24"/>
      <c r="G59" s="15">
        <v>0</v>
      </c>
      <c r="H59" s="15">
        <f t="shared" si="0"/>
        <v>0</v>
      </c>
      <c r="I59" s="15">
        <v>0</v>
      </c>
      <c r="J59" s="15">
        <f t="shared" si="1"/>
        <v>0</v>
      </c>
      <c r="K59" s="15">
        <f t="shared" si="3"/>
        <v>0</v>
      </c>
      <c r="L59" s="43"/>
      <c r="M59" s="11"/>
    </row>
    <row r="60" spans="2:13" x14ac:dyDescent="0.2">
      <c r="B60" s="42">
        <f>IF(F60&lt;&gt;"",1+MAX($B$22:B59),"")</f>
        <v>20</v>
      </c>
      <c r="C60" s="112"/>
      <c r="D60" s="8" t="s">
        <v>312</v>
      </c>
      <c r="E60" s="21" t="s">
        <v>45</v>
      </c>
      <c r="F60" s="61">
        <f>14710/27</f>
        <v>544.81481481481478</v>
      </c>
      <c r="G60" s="67">
        <v>0</v>
      </c>
      <c r="H60" s="67">
        <f t="shared" si="0"/>
        <v>0</v>
      </c>
      <c r="I60" s="15">
        <v>36.418436600000007</v>
      </c>
      <c r="J60" s="15">
        <f t="shared" si="1"/>
        <v>19841.303792074075</v>
      </c>
      <c r="K60" s="15">
        <f t="shared" si="3"/>
        <v>19841.303792074075</v>
      </c>
      <c r="L60" s="43"/>
      <c r="M60" s="11"/>
    </row>
    <row r="61" spans="2:13" x14ac:dyDescent="0.2">
      <c r="B61" s="42">
        <f>IF(F61&lt;&gt;"",1+MAX($B$22:B60),"")</f>
        <v>21</v>
      </c>
      <c r="C61" s="112"/>
      <c r="D61" s="8" t="s">
        <v>310</v>
      </c>
      <c r="E61" s="21" t="s">
        <v>45</v>
      </c>
      <c r="F61" s="61">
        <f>F60-F62</f>
        <v>123.51481481481477</v>
      </c>
      <c r="G61" s="67">
        <v>0</v>
      </c>
      <c r="H61" s="67">
        <f t="shared" si="0"/>
        <v>0</v>
      </c>
      <c r="I61" s="15">
        <v>19.362379400000002</v>
      </c>
      <c r="J61" s="15">
        <f t="shared" si="1"/>
        <v>2391.5407059651843</v>
      </c>
      <c r="K61" s="15">
        <f t="shared" ref="K61:K92" si="4">H61+J61</f>
        <v>2391.5407059651843</v>
      </c>
      <c r="L61" s="43"/>
    </row>
    <row r="62" spans="2:13" x14ac:dyDescent="0.2">
      <c r="B62" s="42">
        <f>IF(F62&lt;&gt;"",1+MAX($B$22:B61),"")</f>
        <v>22</v>
      </c>
      <c r="C62" s="112"/>
      <c r="D62" s="8" t="s">
        <v>59</v>
      </c>
      <c r="E62" s="21" t="s">
        <v>45</v>
      </c>
      <c r="F62" s="61">
        <v>421.3</v>
      </c>
      <c r="G62" s="67">
        <v>0</v>
      </c>
      <c r="H62" s="67">
        <f t="shared" si="0"/>
        <v>0</v>
      </c>
      <c r="I62" s="15">
        <v>9.9225490000000001</v>
      </c>
      <c r="J62" s="15">
        <f t="shared" si="1"/>
        <v>4180.3698936999999</v>
      </c>
      <c r="K62" s="15">
        <f t="shared" si="4"/>
        <v>4180.3698936999999</v>
      </c>
      <c r="L62" s="43"/>
      <c r="M62" s="11"/>
    </row>
    <row r="63" spans="2:13" x14ac:dyDescent="0.2">
      <c r="B63" s="42">
        <f>IF(F63&lt;&gt;"",1+MAX($B$22:B62),"")</f>
        <v>23</v>
      </c>
      <c r="C63" s="46"/>
      <c r="D63" s="8" t="s">
        <v>363</v>
      </c>
      <c r="E63" s="21" t="s">
        <v>364</v>
      </c>
      <c r="F63" s="61">
        <f>F62/60*3</f>
        <v>21.064999999999998</v>
      </c>
      <c r="G63" s="67">
        <v>0</v>
      </c>
      <c r="H63" s="67">
        <f t="shared" si="0"/>
        <v>0</v>
      </c>
      <c r="I63" s="15">
        <v>130</v>
      </c>
      <c r="J63" s="15">
        <f t="shared" si="1"/>
        <v>2738.45</v>
      </c>
      <c r="K63" s="15">
        <f t="shared" si="4"/>
        <v>2738.45</v>
      </c>
      <c r="L63" s="43"/>
      <c r="M63" s="11"/>
    </row>
    <row r="64" spans="2:13" ht="12" customHeight="1" x14ac:dyDescent="0.2">
      <c r="B64" s="42" t="str">
        <f>IF(F64&lt;&gt;"",1+MAX($B$22:B62),"")</f>
        <v/>
      </c>
      <c r="C64" s="46"/>
      <c r="D64" s="8"/>
      <c r="E64" s="21"/>
      <c r="F64" s="34"/>
      <c r="G64" s="15">
        <v>0</v>
      </c>
      <c r="H64" s="15">
        <f t="shared" si="0"/>
        <v>0</v>
      </c>
      <c r="I64" s="15">
        <v>0</v>
      </c>
      <c r="J64" s="15">
        <f t="shared" si="1"/>
        <v>0</v>
      </c>
      <c r="K64" s="15">
        <f t="shared" si="4"/>
        <v>0</v>
      </c>
      <c r="L64" s="43"/>
      <c r="M64" s="11"/>
    </row>
    <row r="65" spans="2:13" ht="12" customHeight="1" x14ac:dyDescent="0.2">
      <c r="B65" s="42" t="str">
        <f>IF(F65&lt;&gt;"",1+MAX($B$22:B64),"")</f>
        <v/>
      </c>
      <c r="C65" s="46"/>
      <c r="D65" s="44" t="s">
        <v>313</v>
      </c>
      <c r="E65" s="21"/>
      <c r="F65" s="34"/>
      <c r="G65" s="15">
        <v>0</v>
      </c>
      <c r="H65" s="15">
        <f t="shared" si="0"/>
        <v>0</v>
      </c>
      <c r="I65" s="15">
        <v>0</v>
      </c>
      <c r="J65" s="15">
        <f t="shared" si="1"/>
        <v>0</v>
      </c>
      <c r="K65" s="15">
        <f t="shared" si="4"/>
        <v>0</v>
      </c>
      <c r="L65" s="43"/>
      <c r="M65" s="11"/>
    </row>
    <row r="66" spans="2:13" x14ac:dyDescent="0.2">
      <c r="B66" s="42" t="str">
        <f>IF(F66&lt;&gt;"",1+MAX($B$22:B65),"")</f>
        <v/>
      </c>
      <c r="C66" s="64"/>
      <c r="D66" s="8"/>
      <c r="E66" s="21"/>
      <c r="F66" s="34"/>
      <c r="G66" s="15">
        <v>0</v>
      </c>
      <c r="H66" s="15">
        <f t="shared" si="0"/>
        <v>0</v>
      </c>
      <c r="I66" s="15">
        <v>0</v>
      </c>
      <c r="J66" s="15">
        <f t="shared" si="1"/>
        <v>0</v>
      </c>
      <c r="K66" s="15">
        <f t="shared" si="4"/>
        <v>0</v>
      </c>
      <c r="L66" s="43"/>
    </row>
    <row r="67" spans="2:13" x14ac:dyDescent="0.2">
      <c r="B67" s="42" t="str">
        <f>IF(F67&lt;&gt;"",1+MAX($B$22:B66),"")</f>
        <v/>
      </c>
      <c r="C67" s="112" t="s">
        <v>314</v>
      </c>
      <c r="D67" s="44" t="s">
        <v>315</v>
      </c>
      <c r="E67" s="21"/>
      <c r="F67" s="24"/>
      <c r="G67" s="15">
        <v>0</v>
      </c>
      <c r="H67" s="15">
        <f t="shared" si="0"/>
        <v>0</v>
      </c>
      <c r="I67" s="15">
        <v>0</v>
      </c>
      <c r="J67" s="15">
        <f t="shared" si="1"/>
        <v>0</v>
      </c>
      <c r="K67" s="15">
        <f t="shared" si="4"/>
        <v>0</v>
      </c>
      <c r="L67" s="43"/>
      <c r="M67" s="11"/>
    </row>
    <row r="68" spans="2:13" x14ac:dyDescent="0.2">
      <c r="B68" s="42">
        <f>IF(F68&lt;&gt;"",1+MAX($B$22:B67),"")</f>
        <v>24</v>
      </c>
      <c r="C68" s="112"/>
      <c r="D68" s="8" t="s">
        <v>316</v>
      </c>
      <c r="E68" s="21" t="s">
        <v>45</v>
      </c>
      <c r="F68" s="61">
        <v>555.1</v>
      </c>
      <c r="G68" s="67">
        <v>0</v>
      </c>
      <c r="H68" s="67">
        <f t="shared" si="0"/>
        <v>0</v>
      </c>
      <c r="I68" s="15">
        <v>36.418436600000007</v>
      </c>
      <c r="J68" s="15">
        <f t="shared" si="1"/>
        <v>20215.874156660004</v>
      </c>
      <c r="K68" s="15">
        <f t="shared" si="4"/>
        <v>20215.874156660004</v>
      </c>
      <c r="L68" s="43"/>
      <c r="M68" s="11"/>
    </row>
    <row r="69" spans="2:13" x14ac:dyDescent="0.2">
      <c r="B69" s="42">
        <f>IF(F69&lt;&gt;"",1+MAX($B$22:B68),"")</f>
        <v>25</v>
      </c>
      <c r="C69" s="112"/>
      <c r="D69" s="8" t="s">
        <v>310</v>
      </c>
      <c r="E69" s="21" t="s">
        <v>45</v>
      </c>
      <c r="F69" s="61">
        <f>F68-F70</f>
        <v>540.1</v>
      </c>
      <c r="G69" s="67">
        <v>0</v>
      </c>
      <c r="H69" s="67">
        <f t="shared" si="0"/>
        <v>0</v>
      </c>
      <c r="I69" s="15">
        <v>19.362379400000002</v>
      </c>
      <c r="J69" s="15">
        <f t="shared" si="1"/>
        <v>10457.621113940002</v>
      </c>
      <c r="K69" s="15">
        <f t="shared" si="4"/>
        <v>10457.621113940002</v>
      </c>
      <c r="L69" s="43"/>
    </row>
    <row r="70" spans="2:13" x14ac:dyDescent="0.2">
      <c r="B70" s="42">
        <f>IF(F70&lt;&gt;"",1+MAX($B$22:B69),"")</f>
        <v>26</v>
      </c>
      <c r="C70" s="112"/>
      <c r="D70" s="8" t="s">
        <v>59</v>
      </c>
      <c r="E70" s="21" t="s">
        <v>45</v>
      </c>
      <c r="F70" s="61">
        <v>15</v>
      </c>
      <c r="G70" s="67">
        <v>0</v>
      </c>
      <c r="H70" s="67">
        <f t="shared" si="0"/>
        <v>0</v>
      </c>
      <c r="I70" s="15">
        <v>9.9225490000000001</v>
      </c>
      <c r="J70" s="15">
        <f t="shared" si="1"/>
        <v>148.838235</v>
      </c>
      <c r="K70" s="15">
        <f t="shared" si="4"/>
        <v>148.838235</v>
      </c>
      <c r="L70" s="43"/>
      <c r="M70" s="11"/>
    </row>
    <row r="71" spans="2:13" x14ac:dyDescent="0.2">
      <c r="B71" s="42">
        <f>IF(F71&lt;&gt;"",1+MAX($B$22:B70),"")</f>
        <v>27</v>
      </c>
      <c r="C71" s="46"/>
      <c r="D71" s="8" t="s">
        <v>363</v>
      </c>
      <c r="E71" s="21" t="s">
        <v>364</v>
      </c>
      <c r="F71" s="61">
        <f>F70/60*3</f>
        <v>0.75</v>
      </c>
      <c r="G71" s="67">
        <v>0</v>
      </c>
      <c r="H71" s="67">
        <f t="shared" si="0"/>
        <v>0</v>
      </c>
      <c r="I71" s="15">
        <v>130</v>
      </c>
      <c r="J71" s="15">
        <f t="shared" si="1"/>
        <v>97.5</v>
      </c>
      <c r="K71" s="15">
        <f t="shared" si="4"/>
        <v>97.5</v>
      </c>
      <c r="L71" s="43"/>
      <c r="M71" s="11"/>
    </row>
    <row r="72" spans="2:13" x14ac:dyDescent="0.2">
      <c r="B72" s="42" t="str">
        <f>IF(F72&lt;&gt;"",1+MAX($B$22:B71),"")</f>
        <v/>
      </c>
      <c r="C72" s="64"/>
      <c r="D72" s="8"/>
      <c r="E72" s="21"/>
      <c r="F72" s="34"/>
      <c r="G72" s="15">
        <v>0</v>
      </c>
      <c r="H72" s="15">
        <f t="shared" si="0"/>
        <v>0</v>
      </c>
      <c r="I72" s="15">
        <v>0</v>
      </c>
      <c r="J72" s="15">
        <f t="shared" si="1"/>
        <v>0</v>
      </c>
      <c r="K72" s="15">
        <f t="shared" si="4"/>
        <v>0</v>
      </c>
      <c r="L72" s="43"/>
      <c r="M72" s="11"/>
    </row>
    <row r="73" spans="2:13" x14ac:dyDescent="0.2">
      <c r="B73" s="57" t="str">
        <f>IF(F73&lt;&gt;"",1+MAX($B$22:B72),"")</f>
        <v/>
      </c>
      <c r="C73" s="58"/>
      <c r="D73" s="59" t="s">
        <v>183</v>
      </c>
      <c r="E73" s="21"/>
      <c r="F73" s="34"/>
      <c r="G73" s="15">
        <v>0</v>
      </c>
      <c r="H73" s="15">
        <f t="shared" si="0"/>
        <v>0</v>
      </c>
      <c r="I73" s="15">
        <v>0</v>
      </c>
      <c r="J73" s="15">
        <f t="shared" si="1"/>
        <v>0</v>
      </c>
      <c r="K73" s="15">
        <f t="shared" si="4"/>
        <v>0</v>
      </c>
      <c r="L73" s="43"/>
    </row>
    <row r="74" spans="2:13" x14ac:dyDescent="0.2">
      <c r="B74" s="42">
        <f>IF(F74&lt;&gt;"",1+MAX($B$22:B73),"")</f>
        <v>28</v>
      </c>
      <c r="C74" s="46" t="s">
        <v>211</v>
      </c>
      <c r="D74" s="8" t="s">
        <v>184</v>
      </c>
      <c r="E74" s="47" t="s">
        <v>44</v>
      </c>
      <c r="F74" s="60">
        <v>260</v>
      </c>
      <c r="G74" s="15">
        <v>23.505500000000001</v>
      </c>
      <c r="H74" s="15">
        <f t="shared" si="0"/>
        <v>6111.43</v>
      </c>
      <c r="I74" s="15">
        <v>18.522686</v>
      </c>
      <c r="J74" s="15">
        <f t="shared" si="1"/>
        <v>4815.8983600000001</v>
      </c>
      <c r="K74" s="15">
        <f t="shared" si="4"/>
        <v>10927.32836</v>
      </c>
      <c r="L74" s="43"/>
    </row>
    <row r="75" spans="2:13" x14ac:dyDescent="0.2">
      <c r="B75" s="42" t="str">
        <f>IF(F75&lt;&gt;"",1+MAX($B$22:B74),"")</f>
        <v/>
      </c>
      <c r="C75" s="46"/>
      <c r="D75" s="8"/>
      <c r="E75" s="21"/>
      <c r="F75" s="60"/>
      <c r="G75" s="15">
        <v>0</v>
      </c>
      <c r="H75" s="15">
        <f t="shared" si="0"/>
        <v>0</v>
      </c>
      <c r="I75" s="15">
        <v>0</v>
      </c>
      <c r="J75" s="15">
        <f t="shared" si="1"/>
        <v>0</v>
      </c>
      <c r="K75" s="15">
        <f t="shared" si="4"/>
        <v>0</v>
      </c>
      <c r="L75" s="43"/>
    </row>
    <row r="76" spans="2:13" x14ac:dyDescent="0.2">
      <c r="B76" s="57" t="str">
        <f>IF(F76&lt;&gt;"",1+MAX($B$22:B75),"")</f>
        <v/>
      </c>
      <c r="C76" s="58"/>
      <c r="D76" s="59" t="s">
        <v>66</v>
      </c>
      <c r="E76" s="21"/>
      <c r="F76" s="34"/>
      <c r="G76" s="15">
        <v>0</v>
      </c>
      <c r="H76" s="15">
        <f t="shared" si="0"/>
        <v>0</v>
      </c>
      <c r="I76" s="15">
        <v>0</v>
      </c>
      <c r="J76" s="15">
        <f t="shared" si="1"/>
        <v>0</v>
      </c>
      <c r="K76" s="15">
        <f t="shared" si="4"/>
        <v>0</v>
      </c>
      <c r="L76" s="43"/>
    </row>
    <row r="77" spans="2:13" ht="25.5" x14ac:dyDescent="0.2">
      <c r="B77" s="42">
        <f>IF(F77&lt;&gt;"",1+MAX($B$22:B76),"")</f>
        <v>29</v>
      </c>
      <c r="C77" s="112" t="s">
        <v>211</v>
      </c>
      <c r="D77" s="8" t="s">
        <v>189</v>
      </c>
      <c r="E77" s="47" t="s">
        <v>46</v>
      </c>
      <c r="F77" s="60">
        <v>189</v>
      </c>
      <c r="G77" s="67">
        <v>0</v>
      </c>
      <c r="H77" s="67">
        <f t="shared" si="0"/>
        <v>0</v>
      </c>
      <c r="I77" s="15">
        <v>8.8498410000000014</v>
      </c>
      <c r="J77" s="15">
        <f t="shared" si="1"/>
        <v>1672.6199490000004</v>
      </c>
      <c r="K77" s="15">
        <f t="shared" si="4"/>
        <v>1672.6199490000004</v>
      </c>
      <c r="L77" s="43"/>
    </row>
    <row r="78" spans="2:13" x14ac:dyDescent="0.2">
      <c r="B78" s="42">
        <f>IF(F78&lt;&gt;"",1+MAX($B$22:B77),"")</f>
        <v>30</v>
      </c>
      <c r="C78" s="112"/>
      <c r="D78" s="8" t="s">
        <v>190</v>
      </c>
      <c r="E78" s="47" t="s">
        <v>46</v>
      </c>
      <c r="F78" s="60">
        <v>1423</v>
      </c>
      <c r="G78" s="67">
        <v>0</v>
      </c>
      <c r="H78" s="67">
        <f t="shared" si="0"/>
        <v>0</v>
      </c>
      <c r="I78" s="15">
        <v>6.0071648000000009</v>
      </c>
      <c r="J78" s="15">
        <f t="shared" si="1"/>
        <v>8548.1955104000008</v>
      </c>
      <c r="K78" s="15">
        <f t="shared" si="4"/>
        <v>8548.1955104000008</v>
      </c>
      <c r="L78" s="43"/>
    </row>
    <row r="79" spans="2:13" x14ac:dyDescent="0.2">
      <c r="B79" s="42">
        <f>IF(F79&lt;&gt;"",1+MAX($B$22:B78),"")</f>
        <v>31</v>
      </c>
      <c r="C79" s="112"/>
      <c r="D79" s="8" t="s">
        <v>191</v>
      </c>
      <c r="E79" s="47" t="s">
        <v>46</v>
      </c>
      <c r="F79" s="60">
        <v>288</v>
      </c>
      <c r="G79" s="67">
        <v>0</v>
      </c>
      <c r="H79" s="67">
        <f t="shared" si="0"/>
        <v>0</v>
      </c>
      <c r="I79" s="15">
        <v>3.4863010000000005</v>
      </c>
      <c r="J79" s="15">
        <f t="shared" si="1"/>
        <v>1004.0546880000002</v>
      </c>
      <c r="K79" s="15">
        <f t="shared" si="4"/>
        <v>1004.0546880000002</v>
      </c>
      <c r="L79" s="43"/>
    </row>
    <row r="80" spans="2:13" x14ac:dyDescent="0.2">
      <c r="B80" s="42">
        <f>IF(F80&lt;&gt;"",1+MAX($B$22:B79),"")</f>
        <v>32</v>
      </c>
      <c r="C80" s="112"/>
      <c r="D80" s="8" t="s">
        <v>191</v>
      </c>
      <c r="E80" s="47" t="s">
        <v>47</v>
      </c>
      <c r="F80" s="60">
        <v>1</v>
      </c>
      <c r="G80" s="67">
        <v>0</v>
      </c>
      <c r="H80" s="67">
        <f t="shared" si="0"/>
        <v>0</v>
      </c>
      <c r="I80" s="15">
        <v>72.407790000000006</v>
      </c>
      <c r="J80" s="15">
        <f t="shared" si="1"/>
        <v>72.407790000000006</v>
      </c>
      <c r="K80" s="15">
        <f t="shared" si="4"/>
        <v>72.407790000000006</v>
      </c>
      <c r="L80" s="43"/>
    </row>
    <row r="81" spans="2:12" x14ac:dyDescent="0.2">
      <c r="B81" s="42">
        <f>IF(F81&lt;&gt;"",1+MAX($B$22:B80),"")</f>
        <v>33</v>
      </c>
      <c r="C81" s="112"/>
      <c r="D81" s="8" t="s">
        <v>191</v>
      </c>
      <c r="E81" s="47" t="s">
        <v>47</v>
      </c>
      <c r="F81" s="60">
        <v>7</v>
      </c>
      <c r="G81" s="67">
        <v>0</v>
      </c>
      <c r="H81" s="67">
        <f t="shared" si="0"/>
        <v>0</v>
      </c>
      <c r="I81" s="15">
        <v>72.407790000000006</v>
      </c>
      <c r="J81" s="15">
        <f t="shared" si="1"/>
        <v>506.85453000000007</v>
      </c>
      <c r="K81" s="15">
        <f t="shared" si="4"/>
        <v>506.85453000000007</v>
      </c>
      <c r="L81" s="43"/>
    </row>
    <row r="82" spans="2:12" x14ac:dyDescent="0.2">
      <c r="B82" s="42">
        <f>IF(F82&lt;&gt;"",1+MAX($B$22:B81),"")</f>
        <v>34</v>
      </c>
      <c r="C82" s="112"/>
      <c r="D82" s="8" t="s">
        <v>192</v>
      </c>
      <c r="E82" s="47" t="s">
        <v>46</v>
      </c>
      <c r="F82" s="60">
        <v>34</v>
      </c>
      <c r="G82" s="67">
        <v>0</v>
      </c>
      <c r="H82" s="67">
        <f t="shared" si="0"/>
        <v>0</v>
      </c>
      <c r="I82" s="15">
        <v>22.258690999999999</v>
      </c>
      <c r="J82" s="15">
        <f t="shared" si="1"/>
        <v>756.79549399999996</v>
      </c>
      <c r="K82" s="15">
        <f t="shared" si="4"/>
        <v>756.79549399999996</v>
      </c>
      <c r="L82" s="43"/>
    </row>
    <row r="83" spans="2:12" x14ac:dyDescent="0.2">
      <c r="B83" s="42">
        <f>IF(F83&lt;&gt;"",1+MAX($B$22:B82),"")</f>
        <v>35</v>
      </c>
      <c r="C83" s="112"/>
      <c r="D83" s="8" t="s">
        <v>193</v>
      </c>
      <c r="E83" s="47" t="s">
        <v>46</v>
      </c>
      <c r="F83" s="60">
        <v>77</v>
      </c>
      <c r="G83" s="67">
        <v>0</v>
      </c>
      <c r="H83" s="67">
        <f t="shared" si="0"/>
        <v>0</v>
      </c>
      <c r="I83" s="15">
        <v>5.1162565999999998</v>
      </c>
      <c r="J83" s="15">
        <f t="shared" si="1"/>
        <v>393.95175819999997</v>
      </c>
      <c r="K83" s="15">
        <f t="shared" si="4"/>
        <v>393.95175819999997</v>
      </c>
      <c r="L83" s="43"/>
    </row>
    <row r="84" spans="2:12" x14ac:dyDescent="0.2">
      <c r="B84" s="42" t="str">
        <f>IF(F84&lt;&gt;"",1+MAX($B$22:B83),"")</f>
        <v/>
      </c>
      <c r="C84" s="46"/>
      <c r="D84" s="8"/>
      <c r="E84" s="21"/>
      <c r="F84" s="60"/>
      <c r="G84" s="15">
        <v>0</v>
      </c>
      <c r="H84" s="15">
        <f t="shared" si="0"/>
        <v>0</v>
      </c>
      <c r="I84" s="15">
        <v>0</v>
      </c>
      <c r="J84" s="15">
        <f t="shared" si="1"/>
        <v>0</v>
      </c>
      <c r="K84" s="15">
        <f t="shared" si="4"/>
        <v>0</v>
      </c>
      <c r="L84" s="43"/>
    </row>
    <row r="85" spans="2:12" x14ac:dyDescent="0.2">
      <c r="B85" s="57" t="str">
        <f>IF(F85&lt;&gt;"",1+MAX($B$22:B84),"")</f>
        <v/>
      </c>
      <c r="C85" s="58"/>
      <c r="D85" s="59" t="s">
        <v>135</v>
      </c>
      <c r="E85" s="21"/>
      <c r="F85" s="60"/>
      <c r="G85" s="15">
        <v>0</v>
      </c>
      <c r="H85" s="15">
        <f t="shared" ref="H85:H148" si="5">F85*G85</f>
        <v>0</v>
      </c>
      <c r="I85" s="15">
        <v>0</v>
      </c>
      <c r="J85" s="15">
        <f t="shared" ref="J85:J148" si="6">F85*I85</f>
        <v>0</v>
      </c>
      <c r="K85" s="15">
        <f t="shared" si="4"/>
        <v>0</v>
      </c>
      <c r="L85" s="43"/>
    </row>
    <row r="86" spans="2:12" ht="25.5" x14ac:dyDescent="0.2">
      <c r="B86" s="42">
        <f>IF(F86&lt;&gt;"",1+MAX($B$22:B85),"")</f>
        <v>36</v>
      </c>
      <c r="C86" s="112" t="s">
        <v>211</v>
      </c>
      <c r="D86" s="8" t="s">
        <v>136</v>
      </c>
      <c r="E86" s="21" t="s">
        <v>46</v>
      </c>
      <c r="F86" s="60">
        <v>175</v>
      </c>
      <c r="G86" s="15">
        <v>22.175000000000001</v>
      </c>
      <c r="H86" s="15">
        <f t="shared" si="5"/>
        <v>3880.625</v>
      </c>
      <c r="I86" s="15">
        <v>9.8797298599999976</v>
      </c>
      <c r="J86" s="15">
        <f t="shared" si="6"/>
        <v>1728.9527254999996</v>
      </c>
      <c r="K86" s="15">
        <f t="shared" si="4"/>
        <v>5609.5777254999994</v>
      </c>
      <c r="L86" s="43"/>
    </row>
    <row r="87" spans="2:12" ht="38.25" x14ac:dyDescent="0.2">
      <c r="B87" s="42">
        <f>IF(F87&lt;&gt;"",1+MAX($B$22:B86),"")</f>
        <v>37</v>
      </c>
      <c r="C87" s="112"/>
      <c r="D87" s="8" t="s">
        <v>137</v>
      </c>
      <c r="E87" s="21" t="s">
        <v>47</v>
      </c>
      <c r="F87" s="60">
        <v>2</v>
      </c>
      <c r="G87" s="15">
        <v>172.965</v>
      </c>
      <c r="H87" s="15">
        <f t="shared" si="5"/>
        <v>345.93</v>
      </c>
      <c r="I87" s="15">
        <v>91.542951499999987</v>
      </c>
      <c r="J87" s="15">
        <f t="shared" si="6"/>
        <v>183.08590299999997</v>
      </c>
      <c r="K87" s="15">
        <f t="shared" si="4"/>
        <v>529.01590299999998</v>
      </c>
      <c r="L87" s="43"/>
    </row>
    <row r="88" spans="2:12" x14ac:dyDescent="0.2">
      <c r="B88" s="42" t="str">
        <f>IF(F88&lt;&gt;"",1+MAX($B$22:B87),"")</f>
        <v/>
      </c>
      <c r="C88" s="112"/>
      <c r="D88" s="8"/>
      <c r="E88" s="21"/>
      <c r="F88" s="60"/>
      <c r="G88" s="15">
        <v>0</v>
      </c>
      <c r="H88" s="15">
        <f t="shared" si="5"/>
        <v>0</v>
      </c>
      <c r="I88" s="15">
        <v>0</v>
      </c>
      <c r="J88" s="15">
        <f t="shared" si="6"/>
        <v>0</v>
      </c>
      <c r="K88" s="15">
        <f t="shared" si="4"/>
        <v>0</v>
      </c>
      <c r="L88" s="43"/>
    </row>
    <row r="89" spans="2:12" x14ac:dyDescent="0.2">
      <c r="B89" s="42" t="str">
        <f>IF(F89&lt;&gt;"",1+MAX($B$22:B88),"")</f>
        <v/>
      </c>
      <c r="C89" s="112"/>
      <c r="D89" s="44" t="s">
        <v>362</v>
      </c>
      <c r="E89" s="21"/>
      <c r="F89" s="60"/>
      <c r="G89" s="15">
        <v>0</v>
      </c>
      <c r="H89" s="15">
        <f t="shared" si="5"/>
        <v>0</v>
      </c>
      <c r="I89" s="15">
        <v>0</v>
      </c>
      <c r="J89" s="15">
        <f t="shared" si="6"/>
        <v>0</v>
      </c>
      <c r="K89" s="15">
        <f t="shared" si="4"/>
        <v>0</v>
      </c>
      <c r="L89" s="43"/>
    </row>
    <row r="90" spans="2:12" x14ac:dyDescent="0.2">
      <c r="B90" s="42">
        <f>IF(F90&lt;&gt;"",1+MAX($B$22:B89),"")</f>
        <v>38</v>
      </c>
      <c r="C90" s="112"/>
      <c r="D90" s="8" t="s">
        <v>67</v>
      </c>
      <c r="E90" s="21" t="s">
        <v>46</v>
      </c>
      <c r="F90" s="60">
        <v>2150</v>
      </c>
      <c r="G90" s="15">
        <v>3.2730299999999999</v>
      </c>
      <c r="H90" s="15">
        <f t="shared" si="5"/>
        <v>7037.0144999999993</v>
      </c>
      <c r="I90" s="15">
        <v>2.5562937399999996</v>
      </c>
      <c r="J90" s="15">
        <f t="shared" si="6"/>
        <v>5496.0315409999994</v>
      </c>
      <c r="K90" s="15">
        <f t="shared" si="4"/>
        <v>12533.046040999998</v>
      </c>
      <c r="L90" s="43"/>
    </row>
    <row r="91" spans="2:12" x14ac:dyDescent="0.2">
      <c r="B91" s="42" t="str">
        <f>IF(F91&lt;&gt;"",1+MAX($B$22:B90),"")</f>
        <v/>
      </c>
      <c r="C91" s="112"/>
      <c r="D91" s="8"/>
      <c r="E91" s="21"/>
      <c r="F91" s="60"/>
      <c r="G91" s="15">
        <v>0</v>
      </c>
      <c r="H91" s="15">
        <f t="shared" si="5"/>
        <v>0</v>
      </c>
      <c r="I91" s="15">
        <v>0</v>
      </c>
      <c r="J91" s="15">
        <f t="shared" si="6"/>
        <v>0</v>
      </c>
      <c r="K91" s="15">
        <f t="shared" si="4"/>
        <v>0</v>
      </c>
      <c r="L91" s="43"/>
    </row>
    <row r="92" spans="2:12" x14ac:dyDescent="0.2">
      <c r="B92" s="42" t="str">
        <f>IF(F92&lt;&gt;"",1+MAX($B$22:B91),"")</f>
        <v/>
      </c>
      <c r="C92" s="112"/>
      <c r="D92" s="44" t="s">
        <v>68</v>
      </c>
      <c r="E92" s="21"/>
      <c r="F92" s="60"/>
      <c r="G92" s="15">
        <v>0</v>
      </c>
      <c r="H92" s="15">
        <f t="shared" si="5"/>
        <v>0</v>
      </c>
      <c r="I92" s="15">
        <v>0</v>
      </c>
      <c r="J92" s="15">
        <f t="shared" si="6"/>
        <v>0</v>
      </c>
      <c r="K92" s="15">
        <f t="shared" si="4"/>
        <v>0</v>
      </c>
      <c r="L92" s="43"/>
    </row>
    <row r="93" spans="2:12" x14ac:dyDescent="0.2">
      <c r="B93" s="42">
        <f>IF(F93&lt;&gt;"",1+MAX($B$22:B92),"")</f>
        <v>39</v>
      </c>
      <c r="C93" s="112"/>
      <c r="D93" s="8" t="s">
        <v>138</v>
      </c>
      <c r="E93" s="21" t="s">
        <v>44</v>
      </c>
      <c r="F93" s="60">
        <v>509639</v>
      </c>
      <c r="G93" s="67">
        <v>0</v>
      </c>
      <c r="H93" s="67">
        <f t="shared" si="5"/>
        <v>0</v>
      </c>
      <c r="I93" s="15">
        <v>0.26817700000000005</v>
      </c>
      <c r="J93" s="15">
        <f t="shared" si="6"/>
        <v>136673.45810300004</v>
      </c>
      <c r="K93" s="15">
        <f t="shared" ref="K93:K124" si="7">H93+J93</f>
        <v>136673.45810300004</v>
      </c>
      <c r="L93" s="43"/>
    </row>
    <row r="94" spans="2:12" x14ac:dyDescent="0.2">
      <c r="B94" s="42" t="str">
        <f>IF(F94&lt;&gt;"",1+MAX($B$22:B93),"")</f>
        <v/>
      </c>
      <c r="C94" s="46"/>
      <c r="D94" s="8"/>
      <c r="E94" s="21"/>
      <c r="F94" s="34"/>
      <c r="G94" s="15">
        <v>0</v>
      </c>
      <c r="H94" s="15">
        <f t="shared" si="5"/>
        <v>0</v>
      </c>
      <c r="I94" s="15">
        <v>0</v>
      </c>
      <c r="J94" s="15">
        <f t="shared" si="6"/>
        <v>0</v>
      </c>
      <c r="K94" s="15">
        <f t="shared" si="7"/>
        <v>0</v>
      </c>
      <c r="L94" s="43"/>
    </row>
    <row r="95" spans="2:12" x14ac:dyDescent="0.2">
      <c r="B95" s="57" t="str">
        <f>IF(F95&lt;&gt;"",1+MAX($B$22:B94),"")</f>
        <v/>
      </c>
      <c r="C95" s="58"/>
      <c r="D95" s="59" t="s">
        <v>82</v>
      </c>
      <c r="E95" s="21"/>
      <c r="F95" s="34"/>
      <c r="G95" s="15">
        <v>0</v>
      </c>
      <c r="H95" s="15">
        <f t="shared" si="5"/>
        <v>0</v>
      </c>
      <c r="I95" s="15">
        <v>0</v>
      </c>
      <c r="J95" s="15">
        <f t="shared" si="6"/>
        <v>0</v>
      </c>
      <c r="K95" s="15">
        <f t="shared" si="7"/>
        <v>0</v>
      </c>
      <c r="L95" s="43"/>
    </row>
    <row r="96" spans="2:12" ht="51" x14ac:dyDescent="0.2">
      <c r="B96" s="42">
        <f>IF(F96&lt;&gt;"",1+MAX($B$22:B95),"")</f>
        <v>40</v>
      </c>
      <c r="C96" s="112" t="s">
        <v>211</v>
      </c>
      <c r="D96" s="44" t="s">
        <v>139</v>
      </c>
      <c r="E96" s="47" t="s">
        <v>47</v>
      </c>
      <c r="F96" s="60">
        <v>4</v>
      </c>
      <c r="G96" s="15">
        <v>328.19</v>
      </c>
      <c r="H96" s="15">
        <f t="shared" si="5"/>
        <v>1312.76</v>
      </c>
      <c r="I96" s="15">
        <v>157.43295750000001</v>
      </c>
      <c r="J96" s="15">
        <f t="shared" si="6"/>
        <v>629.73183000000006</v>
      </c>
      <c r="K96" s="15">
        <f t="shared" si="7"/>
        <v>1942.4918299999999</v>
      </c>
      <c r="L96" s="43"/>
    </row>
    <row r="97" spans="2:13" x14ac:dyDescent="0.2">
      <c r="B97" s="42">
        <f>IF(F97&lt;&gt;"",1+MAX($B$22:B96),"")</f>
        <v>41</v>
      </c>
      <c r="C97" s="112"/>
      <c r="D97" s="44" t="s">
        <v>140</v>
      </c>
      <c r="E97" s="47" t="s">
        <v>47</v>
      </c>
      <c r="F97" s="60">
        <v>6</v>
      </c>
      <c r="G97" s="15">
        <v>221.75</v>
      </c>
      <c r="H97" s="15">
        <f t="shared" si="5"/>
        <v>1330.5</v>
      </c>
      <c r="I97" s="15">
        <v>67.713099999999997</v>
      </c>
      <c r="J97" s="15">
        <f t="shared" si="6"/>
        <v>406.27859999999998</v>
      </c>
      <c r="K97" s="15">
        <f t="shared" si="7"/>
        <v>1736.7786000000001</v>
      </c>
      <c r="L97" s="43"/>
    </row>
    <row r="98" spans="2:13" ht="51" x14ac:dyDescent="0.2">
      <c r="B98" s="42">
        <f>IF(F98&lt;&gt;"",1+MAX($B$22:B97),"")</f>
        <v>42</v>
      </c>
      <c r="C98" s="112"/>
      <c r="D98" s="44" t="s">
        <v>141</v>
      </c>
      <c r="E98" s="47" t="s">
        <v>47</v>
      </c>
      <c r="F98" s="60">
        <v>7</v>
      </c>
      <c r="G98" s="15">
        <v>332.625</v>
      </c>
      <c r="H98" s="15">
        <f t="shared" si="5"/>
        <v>2328.375</v>
      </c>
      <c r="I98" s="15">
        <v>157.43295750000001</v>
      </c>
      <c r="J98" s="15">
        <f t="shared" si="6"/>
        <v>1102.0307025000002</v>
      </c>
      <c r="K98" s="15">
        <f t="shared" si="7"/>
        <v>3430.4057025000002</v>
      </c>
      <c r="L98" s="43"/>
    </row>
    <row r="99" spans="2:13" ht="51" x14ac:dyDescent="0.2">
      <c r="B99" s="42">
        <f>IF(F99&lt;&gt;"",1+MAX($B$22:B98),"")</f>
        <v>43</v>
      </c>
      <c r="C99" s="112"/>
      <c r="D99" s="44" t="s">
        <v>142</v>
      </c>
      <c r="E99" s="47" t="s">
        <v>47</v>
      </c>
      <c r="F99" s="60">
        <v>24</v>
      </c>
      <c r="G99" s="15">
        <v>310.45</v>
      </c>
      <c r="H99" s="15">
        <f t="shared" si="5"/>
        <v>7450.7999999999993</v>
      </c>
      <c r="I99" s="15">
        <v>157.43295750000001</v>
      </c>
      <c r="J99" s="15">
        <f t="shared" si="6"/>
        <v>3778.3909800000001</v>
      </c>
      <c r="K99" s="15">
        <f t="shared" si="7"/>
        <v>11229.190979999999</v>
      </c>
      <c r="L99" s="43"/>
    </row>
    <row r="100" spans="2:13" ht="51" x14ac:dyDescent="0.2">
      <c r="B100" s="42">
        <f>IF(F100&lt;&gt;"",1+MAX($B$22:B99),"")</f>
        <v>44</v>
      </c>
      <c r="C100" s="112"/>
      <c r="D100" s="8" t="s">
        <v>143</v>
      </c>
      <c r="E100" s="47" t="s">
        <v>47</v>
      </c>
      <c r="F100" s="60">
        <v>5</v>
      </c>
      <c r="G100" s="15">
        <v>310.45</v>
      </c>
      <c r="H100" s="15">
        <f t="shared" si="5"/>
        <v>1552.25</v>
      </c>
      <c r="I100" s="15">
        <v>157.43295750000001</v>
      </c>
      <c r="J100" s="15">
        <f t="shared" si="6"/>
        <v>787.1647875000001</v>
      </c>
      <c r="K100" s="15">
        <f t="shared" si="7"/>
        <v>2339.4147874999999</v>
      </c>
      <c r="L100" s="43"/>
    </row>
    <row r="101" spans="2:13" ht="51" x14ac:dyDescent="0.2">
      <c r="B101" s="42">
        <f>IF(F101&lt;&gt;"",1+MAX($B$22:B100),"")</f>
        <v>45</v>
      </c>
      <c r="C101" s="112"/>
      <c r="D101" s="8" t="s">
        <v>144</v>
      </c>
      <c r="E101" s="47" t="s">
        <v>47</v>
      </c>
      <c r="F101" s="60">
        <v>8</v>
      </c>
      <c r="G101" s="15">
        <v>310.45</v>
      </c>
      <c r="H101" s="15">
        <f t="shared" si="5"/>
        <v>2483.6</v>
      </c>
      <c r="I101" s="15">
        <v>157.43295750000001</v>
      </c>
      <c r="J101" s="15">
        <f t="shared" si="6"/>
        <v>1259.4636600000001</v>
      </c>
      <c r="K101" s="15">
        <f t="shared" si="7"/>
        <v>3743.0636599999998</v>
      </c>
      <c r="L101" s="43"/>
    </row>
    <row r="102" spans="2:13" ht="51" x14ac:dyDescent="0.2">
      <c r="B102" s="42">
        <f>IF(F102&lt;&gt;"",1+MAX($B$22:B101),"")</f>
        <v>46</v>
      </c>
      <c r="C102" s="112"/>
      <c r="D102" s="8" t="s">
        <v>145</v>
      </c>
      <c r="E102" s="47" t="s">
        <v>47</v>
      </c>
      <c r="F102" s="60">
        <v>12</v>
      </c>
      <c r="G102" s="15">
        <v>310.45</v>
      </c>
      <c r="H102" s="15">
        <f t="shared" si="5"/>
        <v>3725.3999999999996</v>
      </c>
      <c r="I102" s="15">
        <v>157.43295750000001</v>
      </c>
      <c r="J102" s="15">
        <f t="shared" si="6"/>
        <v>1889.1954900000001</v>
      </c>
      <c r="K102" s="15">
        <f t="shared" si="7"/>
        <v>5614.5954899999997</v>
      </c>
      <c r="L102" s="43"/>
    </row>
    <row r="103" spans="2:13" ht="51" x14ac:dyDescent="0.2">
      <c r="B103" s="42">
        <f>IF(F103&lt;&gt;"",1+MAX($B$22:B102),"")</f>
        <v>47</v>
      </c>
      <c r="C103" s="112"/>
      <c r="D103" s="44" t="s">
        <v>147</v>
      </c>
      <c r="E103" s="47" t="s">
        <v>47</v>
      </c>
      <c r="F103" s="60">
        <v>2</v>
      </c>
      <c r="G103" s="15">
        <v>328.19</v>
      </c>
      <c r="H103" s="15">
        <f t="shared" si="5"/>
        <v>656.38</v>
      </c>
      <c r="I103" s="15">
        <v>157.43295750000001</v>
      </c>
      <c r="J103" s="15">
        <f t="shared" si="6"/>
        <v>314.86591500000003</v>
      </c>
      <c r="K103" s="15">
        <f t="shared" si="7"/>
        <v>971.24591499999997</v>
      </c>
      <c r="L103" s="43"/>
    </row>
    <row r="104" spans="2:13" ht="51" x14ac:dyDescent="0.2">
      <c r="B104" s="42">
        <f>IF(F104&lt;&gt;"",1+MAX($B$22:B103),"")</f>
        <v>48</v>
      </c>
      <c r="C104" s="112"/>
      <c r="D104" s="44" t="s">
        <v>146</v>
      </c>
      <c r="E104" s="47" t="s">
        <v>47</v>
      </c>
      <c r="F104" s="60">
        <v>4</v>
      </c>
      <c r="G104" s="15">
        <v>328.19</v>
      </c>
      <c r="H104" s="15">
        <f t="shared" si="5"/>
        <v>1312.76</v>
      </c>
      <c r="I104" s="15">
        <v>157.43295750000001</v>
      </c>
      <c r="J104" s="15">
        <f t="shared" si="6"/>
        <v>629.73183000000006</v>
      </c>
      <c r="K104" s="15">
        <f t="shared" si="7"/>
        <v>1942.4918299999999</v>
      </c>
      <c r="L104" s="43"/>
    </row>
    <row r="105" spans="2:13" ht="51" x14ac:dyDescent="0.2">
      <c r="B105" s="42">
        <f>IF(F105&lt;&gt;"",1+MAX($B$22:B104),"")</f>
        <v>49</v>
      </c>
      <c r="C105" s="112"/>
      <c r="D105" s="44" t="s">
        <v>148</v>
      </c>
      <c r="E105" s="47" t="s">
        <v>47</v>
      </c>
      <c r="F105" s="60">
        <v>4</v>
      </c>
      <c r="G105" s="15">
        <v>328.19</v>
      </c>
      <c r="H105" s="15">
        <f t="shared" si="5"/>
        <v>1312.76</v>
      </c>
      <c r="I105" s="15">
        <v>157.43295750000001</v>
      </c>
      <c r="J105" s="15">
        <f t="shared" si="6"/>
        <v>629.73183000000006</v>
      </c>
      <c r="K105" s="15">
        <f t="shared" si="7"/>
        <v>1942.4918299999999</v>
      </c>
      <c r="L105" s="43"/>
    </row>
    <row r="106" spans="2:13" x14ac:dyDescent="0.2">
      <c r="B106" s="42" t="str">
        <f>IF(F106&lt;&gt;"",1+MAX($B$22:B105),"")</f>
        <v/>
      </c>
      <c r="C106" s="46"/>
      <c r="D106" s="8"/>
      <c r="E106" s="21"/>
      <c r="F106" s="34"/>
      <c r="G106" s="15">
        <v>0</v>
      </c>
      <c r="H106" s="15">
        <f t="shared" si="5"/>
        <v>0</v>
      </c>
      <c r="I106" s="15">
        <v>0</v>
      </c>
      <c r="J106" s="15">
        <f t="shared" si="6"/>
        <v>0</v>
      </c>
      <c r="K106" s="15">
        <f t="shared" si="7"/>
        <v>0</v>
      </c>
      <c r="L106" s="43"/>
      <c r="M106" s="11"/>
    </row>
    <row r="107" spans="2:13" x14ac:dyDescent="0.2">
      <c r="B107" s="57" t="str">
        <f>IF(F107&lt;&gt;"",1+MAX($B$22:B106),"")</f>
        <v/>
      </c>
      <c r="C107" s="58"/>
      <c r="D107" s="59" t="s">
        <v>79</v>
      </c>
      <c r="E107" s="21"/>
      <c r="F107" s="34"/>
      <c r="G107" s="15">
        <v>0</v>
      </c>
      <c r="H107" s="15">
        <f t="shared" si="5"/>
        <v>0</v>
      </c>
      <c r="I107" s="15">
        <v>0</v>
      </c>
      <c r="J107" s="15">
        <f t="shared" si="6"/>
        <v>0</v>
      </c>
      <c r="K107" s="15">
        <f t="shared" si="7"/>
        <v>0</v>
      </c>
      <c r="L107" s="43"/>
    </row>
    <row r="108" spans="2:13" ht="38.25" x14ac:dyDescent="0.2">
      <c r="B108" s="42">
        <f>IF(F108&lt;&gt;"",1+MAX($B$22:B107),"")</f>
        <v>50</v>
      </c>
      <c r="C108" s="46" t="s">
        <v>211</v>
      </c>
      <c r="D108" s="8" t="s">
        <v>151</v>
      </c>
      <c r="E108" s="47" t="s">
        <v>47</v>
      </c>
      <c r="F108" s="60">
        <v>32</v>
      </c>
      <c r="G108" s="15">
        <v>269.84314000000001</v>
      </c>
      <c r="H108" s="15">
        <f t="shared" si="5"/>
        <v>8634.9804800000002</v>
      </c>
      <c r="I108" s="15">
        <v>426.6971891</v>
      </c>
      <c r="J108" s="15">
        <f t="shared" si="6"/>
        <v>13654.3100512</v>
      </c>
      <c r="K108" s="15">
        <f t="shared" si="7"/>
        <v>22289.2905312</v>
      </c>
      <c r="L108" s="43"/>
    </row>
    <row r="109" spans="2:13" x14ac:dyDescent="0.2">
      <c r="B109" s="42" t="str">
        <f>IF(F109&lt;&gt;"",1+MAX($B$22:B108),"")</f>
        <v/>
      </c>
      <c r="C109" s="46"/>
      <c r="D109" s="8"/>
      <c r="E109" s="21"/>
      <c r="F109" s="34"/>
      <c r="G109" s="15">
        <v>0</v>
      </c>
      <c r="H109" s="15">
        <f t="shared" si="5"/>
        <v>0</v>
      </c>
      <c r="I109" s="15">
        <v>0</v>
      </c>
      <c r="J109" s="15">
        <f t="shared" si="6"/>
        <v>0</v>
      </c>
      <c r="K109" s="15">
        <f t="shared" si="7"/>
        <v>0</v>
      </c>
      <c r="L109" s="43"/>
      <c r="M109" s="11"/>
    </row>
    <row r="110" spans="2:13" x14ac:dyDescent="0.2">
      <c r="B110" s="57" t="str">
        <f>IF(F110&lt;&gt;"",1+MAX($B$22:B109),"")</f>
        <v/>
      </c>
      <c r="C110" s="58"/>
      <c r="D110" s="59" t="s">
        <v>52</v>
      </c>
      <c r="E110" s="21"/>
      <c r="F110" s="34"/>
      <c r="G110" s="15">
        <v>0</v>
      </c>
      <c r="H110" s="15">
        <f t="shared" si="5"/>
        <v>0</v>
      </c>
      <c r="I110" s="15">
        <v>0</v>
      </c>
      <c r="J110" s="15">
        <f t="shared" si="6"/>
        <v>0</v>
      </c>
      <c r="K110" s="15">
        <f t="shared" si="7"/>
        <v>0</v>
      </c>
      <c r="L110" s="43"/>
    </row>
    <row r="111" spans="2:13" ht="38.25" x14ac:dyDescent="0.2">
      <c r="B111" s="42">
        <f>IF(F111&lt;&gt;"",1+MAX($B$22:B110),"")</f>
        <v>51</v>
      </c>
      <c r="C111" s="46" t="s">
        <v>211</v>
      </c>
      <c r="D111" s="8" t="s">
        <v>156</v>
      </c>
      <c r="E111" s="47" t="s">
        <v>44</v>
      </c>
      <c r="F111" s="60">
        <f>132831+83680</f>
        <v>216511</v>
      </c>
      <c r="G111" s="15">
        <v>1.9957500000000001</v>
      </c>
      <c r="H111" s="15">
        <f t="shared" si="5"/>
        <v>432101.82825000002</v>
      </c>
      <c r="I111" s="15">
        <v>1.7275822199999999</v>
      </c>
      <c r="J111" s="15">
        <f t="shared" si="6"/>
        <v>374040.55403442</v>
      </c>
      <c r="K111" s="15">
        <f t="shared" si="7"/>
        <v>806142.38228442008</v>
      </c>
      <c r="L111" s="43"/>
    </row>
    <row r="112" spans="2:13" x14ac:dyDescent="0.2">
      <c r="B112" s="42" t="str">
        <f>IF(F112&lt;&gt;"",1+MAX($B$22:B111),"")</f>
        <v/>
      </c>
      <c r="C112" s="46"/>
      <c r="D112" s="8"/>
      <c r="E112" s="21"/>
      <c r="F112" s="34"/>
      <c r="G112" s="15">
        <v>0</v>
      </c>
      <c r="H112" s="15">
        <f t="shared" si="5"/>
        <v>0</v>
      </c>
      <c r="I112" s="15">
        <v>0</v>
      </c>
      <c r="J112" s="15">
        <f t="shared" si="6"/>
        <v>0</v>
      </c>
      <c r="K112" s="15">
        <f t="shared" si="7"/>
        <v>0</v>
      </c>
      <c r="L112" s="43"/>
      <c r="M112" s="11"/>
    </row>
    <row r="113" spans="2:13" x14ac:dyDescent="0.2">
      <c r="B113" s="57" t="str">
        <f>IF(F113&lt;&gt;"",1+MAX($B$22:B112),"")</f>
        <v/>
      </c>
      <c r="C113" s="58"/>
      <c r="D113" s="59" t="s">
        <v>207</v>
      </c>
      <c r="E113" s="21"/>
      <c r="F113" s="34"/>
      <c r="G113" s="15">
        <v>0</v>
      </c>
      <c r="H113" s="15">
        <f t="shared" si="5"/>
        <v>0</v>
      </c>
      <c r="I113" s="15">
        <v>0</v>
      </c>
      <c r="J113" s="15">
        <f t="shared" si="6"/>
        <v>0</v>
      </c>
      <c r="K113" s="15">
        <f t="shared" si="7"/>
        <v>0</v>
      </c>
      <c r="L113" s="43"/>
    </row>
    <row r="114" spans="2:13" x14ac:dyDescent="0.2">
      <c r="B114" s="42">
        <f>IF(F114&lt;&gt;"",1+MAX($B$22:B113),"")</f>
        <v>52</v>
      </c>
      <c r="C114" s="112" t="s">
        <v>211</v>
      </c>
      <c r="D114" s="8" t="s">
        <v>208</v>
      </c>
      <c r="E114" s="47" t="s">
        <v>45</v>
      </c>
      <c r="F114" s="60">
        <f>4331.5</f>
        <v>4331.5</v>
      </c>
      <c r="G114" s="67">
        <v>0</v>
      </c>
      <c r="H114" s="67">
        <f t="shared" si="5"/>
        <v>0</v>
      </c>
      <c r="I114" s="15">
        <v>9.1716534000000021</v>
      </c>
      <c r="J114" s="15">
        <f t="shared" si="6"/>
        <v>39727.016702100009</v>
      </c>
      <c r="K114" s="15">
        <f t="shared" si="7"/>
        <v>39727.016702100009</v>
      </c>
      <c r="L114" s="43"/>
    </row>
    <row r="115" spans="2:13" x14ac:dyDescent="0.2">
      <c r="B115" s="42">
        <f>IF(F115&lt;&gt;"",1+MAX($B$22:B114),"")</f>
        <v>53</v>
      </c>
      <c r="C115" s="112"/>
      <c r="D115" s="8" t="s">
        <v>209</v>
      </c>
      <c r="E115" s="47" t="s">
        <v>45</v>
      </c>
      <c r="F115" s="60">
        <v>25850.799999999999</v>
      </c>
      <c r="G115" s="67">
        <v>0</v>
      </c>
      <c r="H115" s="67">
        <f t="shared" si="5"/>
        <v>0</v>
      </c>
      <c r="I115" s="15">
        <v>5.9535294000000007</v>
      </c>
      <c r="J115" s="15">
        <f t="shared" si="6"/>
        <v>153903.49781352002</v>
      </c>
      <c r="K115" s="15">
        <f t="shared" si="7"/>
        <v>153903.49781352002</v>
      </c>
      <c r="L115" s="43"/>
    </row>
    <row r="116" spans="2:13" x14ac:dyDescent="0.2">
      <c r="B116" s="42">
        <f>IF(F116&lt;&gt;"",1+MAX($B$22:B115),"")</f>
        <v>54</v>
      </c>
      <c r="C116" s="112"/>
      <c r="D116" s="8" t="s">
        <v>210</v>
      </c>
      <c r="E116" s="47" t="s">
        <v>45</v>
      </c>
      <c r="F116" s="60">
        <v>21519.3</v>
      </c>
      <c r="G116" s="15">
        <v>7.5395000000000003</v>
      </c>
      <c r="H116" s="15">
        <f t="shared" si="5"/>
        <v>162244.76235</v>
      </c>
      <c r="I116" s="67">
        <v>0</v>
      </c>
      <c r="J116" s="67">
        <f t="shared" si="6"/>
        <v>0</v>
      </c>
      <c r="K116" s="15">
        <f t="shared" si="7"/>
        <v>162244.76235</v>
      </c>
      <c r="L116" s="43"/>
    </row>
    <row r="117" spans="2:13" x14ac:dyDescent="0.2">
      <c r="B117" s="42">
        <f>IF(F117&lt;&gt;"",1+MAX($B$22:B116),"")</f>
        <v>55</v>
      </c>
      <c r="C117" s="112"/>
      <c r="D117" s="8" t="s">
        <v>363</v>
      </c>
      <c r="E117" s="21" t="s">
        <v>364</v>
      </c>
      <c r="F117" s="61">
        <f>F116/60*3</f>
        <v>1075.9649999999999</v>
      </c>
      <c r="G117" s="67">
        <v>0</v>
      </c>
      <c r="H117" s="67">
        <f t="shared" si="5"/>
        <v>0</v>
      </c>
      <c r="I117" s="15">
        <v>130</v>
      </c>
      <c r="J117" s="15">
        <f t="shared" si="6"/>
        <v>139875.44999999998</v>
      </c>
      <c r="K117" s="15">
        <f t="shared" si="7"/>
        <v>139875.44999999998</v>
      </c>
      <c r="L117" s="43"/>
      <c r="M117" s="11"/>
    </row>
    <row r="118" spans="2:13" x14ac:dyDescent="0.2">
      <c r="B118" s="42" t="str">
        <f>IF(F118&lt;&gt;"",1+MAX($B$22:B117),"")</f>
        <v/>
      </c>
      <c r="C118" s="46"/>
      <c r="D118" s="8"/>
      <c r="E118" s="21"/>
      <c r="F118" s="34"/>
      <c r="G118" s="15">
        <v>0</v>
      </c>
      <c r="H118" s="15">
        <f t="shared" si="5"/>
        <v>0</v>
      </c>
      <c r="I118" s="15">
        <v>0</v>
      </c>
      <c r="J118" s="15">
        <f t="shared" si="6"/>
        <v>0</v>
      </c>
      <c r="K118" s="15">
        <f t="shared" si="7"/>
        <v>0</v>
      </c>
      <c r="L118" s="43"/>
      <c r="M118" s="11"/>
    </row>
    <row r="119" spans="2:13" x14ac:dyDescent="0.2">
      <c r="B119" s="57" t="str">
        <f>IF(F119&lt;&gt;"",1+MAX($B$22:B118),"")</f>
        <v/>
      </c>
      <c r="C119" s="58"/>
      <c r="D119" s="59" t="s">
        <v>69</v>
      </c>
      <c r="E119" s="21"/>
      <c r="F119" s="60"/>
      <c r="G119" s="15">
        <v>0</v>
      </c>
      <c r="H119" s="15">
        <f t="shared" si="5"/>
        <v>0</v>
      </c>
      <c r="I119" s="15">
        <v>0</v>
      </c>
      <c r="J119" s="15">
        <f t="shared" si="6"/>
        <v>0</v>
      </c>
      <c r="K119" s="15">
        <f t="shared" si="7"/>
        <v>0</v>
      </c>
      <c r="L119" s="43"/>
    </row>
    <row r="120" spans="2:13" x14ac:dyDescent="0.2">
      <c r="B120" s="42">
        <f>IF(F120&lt;&gt;"",1+MAX($B$22:B119),"")</f>
        <v>56</v>
      </c>
      <c r="C120" s="46" t="s">
        <v>211</v>
      </c>
      <c r="D120" s="8" t="s">
        <v>206</v>
      </c>
      <c r="E120" s="21" t="s">
        <v>46</v>
      </c>
      <c r="F120" s="60">
        <v>7108</v>
      </c>
      <c r="G120" s="15">
        <v>8.9587000000000003</v>
      </c>
      <c r="H120" s="15">
        <f t="shared" si="5"/>
        <v>63678.439600000005</v>
      </c>
      <c r="I120" s="15">
        <v>7.3026189600000002</v>
      </c>
      <c r="J120" s="15">
        <f t="shared" si="6"/>
        <v>51907.015567679999</v>
      </c>
      <c r="K120" s="15">
        <f t="shared" si="7"/>
        <v>115585.45516768</v>
      </c>
      <c r="L120" s="43"/>
    </row>
    <row r="121" spans="2:13" x14ac:dyDescent="0.2">
      <c r="B121" s="42" t="str">
        <f>IF(F121&lt;&gt;"",1+MAX($B$22:B120),"")</f>
        <v/>
      </c>
      <c r="C121" s="46"/>
      <c r="D121" s="8"/>
      <c r="E121" s="21"/>
      <c r="F121" s="34"/>
      <c r="G121" s="15">
        <v>0</v>
      </c>
      <c r="H121" s="15">
        <f t="shared" si="5"/>
        <v>0</v>
      </c>
      <c r="I121" s="15">
        <v>0</v>
      </c>
      <c r="J121" s="15">
        <f t="shared" si="6"/>
        <v>0</v>
      </c>
      <c r="K121" s="15">
        <f t="shared" si="7"/>
        <v>0</v>
      </c>
      <c r="L121" s="43"/>
    </row>
    <row r="122" spans="2:13" x14ac:dyDescent="0.2">
      <c r="B122" s="57" t="str">
        <f>IF(F122&lt;&gt;"",1+MAX($B$22:B121),"")</f>
        <v/>
      </c>
      <c r="C122" s="58"/>
      <c r="D122" s="59" t="s">
        <v>157</v>
      </c>
      <c r="E122" s="21"/>
      <c r="F122" s="34"/>
      <c r="G122" s="15">
        <v>0</v>
      </c>
      <c r="H122" s="15">
        <f t="shared" si="5"/>
        <v>0</v>
      </c>
      <c r="I122" s="15">
        <v>0</v>
      </c>
      <c r="J122" s="15">
        <f t="shared" si="6"/>
        <v>0</v>
      </c>
      <c r="K122" s="15">
        <f t="shared" si="7"/>
        <v>0</v>
      </c>
      <c r="L122" s="43"/>
    </row>
    <row r="123" spans="2:13" ht="63.75" x14ac:dyDescent="0.2">
      <c r="B123" s="42">
        <f>IF(F123&lt;&gt;"",1+MAX($B$22:B122),"")</f>
        <v>57</v>
      </c>
      <c r="C123" s="112" t="s">
        <v>211</v>
      </c>
      <c r="D123" s="8" t="s">
        <v>158</v>
      </c>
      <c r="E123" s="21" t="s">
        <v>46</v>
      </c>
      <c r="F123" s="60">
        <v>54</v>
      </c>
      <c r="G123" s="15">
        <v>10.89236</v>
      </c>
      <c r="H123" s="15">
        <f t="shared" si="5"/>
        <v>588.18744000000004</v>
      </c>
      <c r="I123" s="15">
        <v>5.9416557199999991</v>
      </c>
      <c r="J123" s="15">
        <f t="shared" si="6"/>
        <v>320.84940887999994</v>
      </c>
      <c r="K123" s="15">
        <f t="shared" si="7"/>
        <v>909.03684887999998</v>
      </c>
      <c r="L123" s="43"/>
    </row>
    <row r="124" spans="2:13" ht="63.75" x14ac:dyDescent="0.2">
      <c r="B124" s="42">
        <f>IF(F124&lt;&gt;"",1+MAX($B$22:B123),"")</f>
        <v>58</v>
      </c>
      <c r="C124" s="112"/>
      <c r="D124" s="8" t="s">
        <v>159</v>
      </c>
      <c r="E124" s="21" t="s">
        <v>46</v>
      </c>
      <c r="F124" s="60">
        <v>108</v>
      </c>
      <c r="G124" s="15">
        <v>25.279499999999999</v>
      </c>
      <c r="H124" s="15">
        <f t="shared" si="5"/>
        <v>2730.1859999999997</v>
      </c>
      <c r="I124" s="15">
        <v>13.472358899999998</v>
      </c>
      <c r="J124" s="15">
        <f t="shared" si="6"/>
        <v>1455.0147611999998</v>
      </c>
      <c r="K124" s="15">
        <f t="shared" si="7"/>
        <v>4185.2007611999998</v>
      </c>
      <c r="L124" s="43"/>
    </row>
    <row r="125" spans="2:13" ht="63.75" x14ac:dyDescent="0.2">
      <c r="B125" s="42">
        <f>IF(F125&lt;&gt;"",1+MAX($B$22:B124),"")</f>
        <v>59</v>
      </c>
      <c r="C125" s="112"/>
      <c r="D125" s="8" t="s">
        <v>160</v>
      </c>
      <c r="E125" s="21" t="s">
        <v>46</v>
      </c>
      <c r="F125" s="60">
        <f>65+136</f>
        <v>201</v>
      </c>
      <c r="G125" s="15">
        <v>25.279499999999999</v>
      </c>
      <c r="H125" s="15">
        <f t="shared" si="5"/>
        <v>5081.1795000000002</v>
      </c>
      <c r="I125" s="15">
        <v>13.472358899999998</v>
      </c>
      <c r="J125" s="15">
        <f t="shared" si="6"/>
        <v>2707.9441388999994</v>
      </c>
      <c r="K125" s="15">
        <f t="shared" ref="K125:K156" si="8">H125+J125</f>
        <v>7789.1236388999996</v>
      </c>
      <c r="L125" s="43"/>
    </row>
    <row r="126" spans="2:13" ht="63.75" x14ac:dyDescent="0.2">
      <c r="B126" s="42">
        <f>IF(F126&lt;&gt;"",1+MAX($B$22:B125),"")</f>
        <v>60</v>
      </c>
      <c r="C126" s="112"/>
      <c r="D126" s="8" t="s">
        <v>161</v>
      </c>
      <c r="E126" s="21" t="s">
        <v>46</v>
      </c>
      <c r="F126" s="60">
        <v>37</v>
      </c>
      <c r="G126" s="15">
        <v>25.279499999999999</v>
      </c>
      <c r="H126" s="15">
        <f t="shared" si="5"/>
        <v>935.3415</v>
      </c>
      <c r="I126" s="15">
        <v>13.472358899999998</v>
      </c>
      <c r="J126" s="15">
        <f t="shared" si="6"/>
        <v>498.47727929999991</v>
      </c>
      <c r="K126" s="15">
        <f t="shared" si="8"/>
        <v>1433.8187793</v>
      </c>
      <c r="L126" s="43"/>
    </row>
    <row r="127" spans="2:13" ht="76.5" x14ac:dyDescent="0.2">
      <c r="B127" s="42">
        <f>IF(F127&lt;&gt;"",1+MAX($B$22:B126),"")</f>
        <v>61</v>
      </c>
      <c r="C127" s="112"/>
      <c r="D127" s="8" t="s">
        <v>166</v>
      </c>
      <c r="E127" s="21" t="s">
        <v>46</v>
      </c>
      <c r="F127" s="60">
        <v>164</v>
      </c>
      <c r="G127" s="15">
        <v>25.279499999999999</v>
      </c>
      <c r="H127" s="15">
        <f t="shared" si="5"/>
        <v>4145.8379999999997</v>
      </c>
      <c r="I127" s="15">
        <v>13.472358899999998</v>
      </c>
      <c r="J127" s="15">
        <f t="shared" si="6"/>
        <v>2209.4668595999997</v>
      </c>
      <c r="K127" s="15">
        <f t="shared" si="8"/>
        <v>6355.304859599999</v>
      </c>
      <c r="L127" s="43"/>
    </row>
    <row r="128" spans="2:13" x14ac:dyDescent="0.2">
      <c r="B128" s="42" t="str">
        <f>IF(F128&lt;&gt;"",1+MAX($B$22:B127),"")</f>
        <v/>
      </c>
      <c r="C128" s="112"/>
      <c r="D128" s="8"/>
      <c r="E128" s="21"/>
      <c r="F128" s="60"/>
      <c r="G128" s="15">
        <v>0</v>
      </c>
      <c r="H128" s="15">
        <f t="shared" si="5"/>
        <v>0</v>
      </c>
      <c r="I128" s="15">
        <v>0</v>
      </c>
      <c r="J128" s="15">
        <f t="shared" si="6"/>
        <v>0</v>
      </c>
      <c r="K128" s="15">
        <f t="shared" si="8"/>
        <v>0</v>
      </c>
      <c r="L128" s="43"/>
    </row>
    <row r="129" spans="2:13" x14ac:dyDescent="0.2">
      <c r="B129" s="42" t="str">
        <f>IF(F129&lt;&gt;"",1+MAX($B$22:B128),"")</f>
        <v/>
      </c>
      <c r="C129" s="112"/>
      <c r="D129" s="44" t="s">
        <v>57</v>
      </c>
      <c r="E129" s="21"/>
      <c r="F129" s="60"/>
      <c r="G129" s="15">
        <v>0</v>
      </c>
      <c r="H129" s="15">
        <f t="shared" si="5"/>
        <v>0</v>
      </c>
      <c r="I129" s="15">
        <v>0</v>
      </c>
      <c r="J129" s="15">
        <f t="shared" si="6"/>
        <v>0</v>
      </c>
      <c r="K129" s="15">
        <f t="shared" si="8"/>
        <v>0</v>
      </c>
      <c r="L129" s="43"/>
    </row>
    <row r="130" spans="2:13" ht="25.5" x14ac:dyDescent="0.2">
      <c r="B130" s="42">
        <f>IF(F130&lt;&gt;"",1+MAX($B$22:B129),"")</f>
        <v>62</v>
      </c>
      <c r="C130" s="112"/>
      <c r="D130" s="8" t="s">
        <v>164</v>
      </c>
      <c r="E130" s="21" t="s">
        <v>47</v>
      </c>
      <c r="F130" s="60">
        <v>1</v>
      </c>
      <c r="G130" s="15">
        <v>1410.33</v>
      </c>
      <c r="H130" s="15">
        <f t="shared" si="5"/>
        <v>1410.33</v>
      </c>
      <c r="I130" s="15">
        <v>330.59096069999998</v>
      </c>
      <c r="J130" s="15">
        <f t="shared" si="6"/>
        <v>330.59096069999998</v>
      </c>
      <c r="K130" s="15">
        <f t="shared" si="8"/>
        <v>1740.9209606999998</v>
      </c>
      <c r="L130" s="43"/>
    </row>
    <row r="131" spans="2:13" ht="25.5" x14ac:dyDescent="0.2">
      <c r="B131" s="42">
        <f>IF(F131&lt;&gt;"",1+MAX($B$22:B130),"")</f>
        <v>63</v>
      </c>
      <c r="C131" s="112"/>
      <c r="D131" s="8" t="s">
        <v>165</v>
      </c>
      <c r="E131" s="21" t="s">
        <v>47</v>
      </c>
      <c r="F131" s="60">
        <v>1</v>
      </c>
      <c r="G131" s="15">
        <v>1680.865</v>
      </c>
      <c r="H131" s="15">
        <f t="shared" si="5"/>
        <v>1680.865</v>
      </c>
      <c r="I131" s="15">
        <v>276.35607999999996</v>
      </c>
      <c r="J131" s="15">
        <f t="shared" si="6"/>
        <v>276.35607999999996</v>
      </c>
      <c r="K131" s="15">
        <f t="shared" si="8"/>
        <v>1957.22108</v>
      </c>
      <c r="L131" s="43"/>
    </row>
    <row r="132" spans="2:13" x14ac:dyDescent="0.2">
      <c r="B132" s="42">
        <f>IF(F132&lt;&gt;"",1+MAX($B$22:B131),"")</f>
        <v>64</v>
      </c>
      <c r="C132" s="112"/>
      <c r="D132" s="8" t="s">
        <v>167</v>
      </c>
      <c r="E132" s="21" t="s">
        <v>47</v>
      </c>
      <c r="F132" s="60">
        <v>1</v>
      </c>
      <c r="G132" s="15">
        <v>252.79500000000002</v>
      </c>
      <c r="H132" s="15">
        <f t="shared" si="5"/>
        <v>252.79500000000002</v>
      </c>
      <c r="I132" s="15">
        <v>91.542951499999987</v>
      </c>
      <c r="J132" s="15">
        <f t="shared" si="6"/>
        <v>91.542951499999987</v>
      </c>
      <c r="K132" s="15">
        <f t="shared" si="8"/>
        <v>344.33795150000003</v>
      </c>
      <c r="L132" s="43"/>
    </row>
    <row r="133" spans="2:13" x14ac:dyDescent="0.2">
      <c r="B133" s="42">
        <f>IF(F133&lt;&gt;"",1+MAX($B$22:B132),"")</f>
        <v>65</v>
      </c>
      <c r="C133" s="112"/>
      <c r="D133" s="8" t="s">
        <v>168</v>
      </c>
      <c r="E133" s="21" t="s">
        <v>47</v>
      </c>
      <c r="F133" s="60">
        <v>1</v>
      </c>
      <c r="G133" s="15">
        <v>1130.925</v>
      </c>
      <c r="H133" s="15">
        <f t="shared" si="5"/>
        <v>1130.925</v>
      </c>
      <c r="I133" s="15">
        <v>241.81156999999996</v>
      </c>
      <c r="J133" s="15">
        <f t="shared" si="6"/>
        <v>241.81156999999996</v>
      </c>
      <c r="K133" s="15">
        <f t="shared" si="8"/>
        <v>1372.73657</v>
      </c>
      <c r="L133" s="43"/>
    </row>
    <row r="134" spans="2:13" x14ac:dyDescent="0.2">
      <c r="B134" s="42" t="str">
        <f>IF(F134&lt;&gt;"",1+MAX($B$22:B133),"")</f>
        <v/>
      </c>
      <c r="C134" s="112"/>
      <c r="D134" s="8"/>
      <c r="E134" s="21"/>
      <c r="F134" s="60"/>
      <c r="G134" s="15">
        <v>0</v>
      </c>
      <c r="H134" s="15">
        <f t="shared" si="5"/>
        <v>0</v>
      </c>
      <c r="I134" s="15">
        <v>0</v>
      </c>
      <c r="J134" s="15">
        <f t="shared" si="6"/>
        <v>0</v>
      </c>
      <c r="K134" s="15">
        <f t="shared" si="8"/>
        <v>0</v>
      </c>
      <c r="L134" s="43"/>
    </row>
    <row r="135" spans="2:13" x14ac:dyDescent="0.2">
      <c r="B135" s="42" t="str">
        <f>IF(F135&lt;&gt;"",1+MAX($B$22:B134),"")</f>
        <v/>
      </c>
      <c r="C135" s="112"/>
      <c r="D135" s="44" t="s">
        <v>58</v>
      </c>
      <c r="E135" s="21"/>
      <c r="F135" s="60"/>
      <c r="G135" s="15">
        <v>0</v>
      </c>
      <c r="H135" s="15">
        <f t="shared" si="5"/>
        <v>0</v>
      </c>
      <c r="I135" s="15">
        <v>0</v>
      </c>
      <c r="J135" s="15">
        <f t="shared" si="6"/>
        <v>0</v>
      </c>
      <c r="K135" s="15">
        <f t="shared" si="8"/>
        <v>0</v>
      </c>
      <c r="L135" s="43"/>
    </row>
    <row r="136" spans="2:13" x14ac:dyDescent="0.2">
      <c r="B136" s="42">
        <f>IF(F136&lt;&gt;"",1+MAX($B$22:B135),"")</f>
        <v>66</v>
      </c>
      <c r="C136" s="112"/>
      <c r="D136" s="8" t="s">
        <v>48</v>
      </c>
      <c r="E136" s="21" t="s">
        <v>45</v>
      </c>
      <c r="F136" s="62">
        <f>3.14*1*1*4*((238+164)/10)/27</f>
        <v>18.700444444444447</v>
      </c>
      <c r="G136" s="67">
        <v>0</v>
      </c>
      <c r="H136" s="67">
        <f t="shared" si="5"/>
        <v>0</v>
      </c>
      <c r="I136" s="15">
        <v>36.418436600000007</v>
      </c>
      <c r="J136" s="15">
        <f t="shared" si="6"/>
        <v>681.04095039182243</v>
      </c>
      <c r="K136" s="15">
        <f t="shared" si="8"/>
        <v>681.04095039182243</v>
      </c>
      <c r="L136" s="43"/>
    </row>
    <row r="137" spans="2:13" x14ac:dyDescent="0.2">
      <c r="B137" s="42">
        <f>IF(F137&lt;&gt;"",1+MAX($B$22:B136),"")</f>
        <v>67</v>
      </c>
      <c r="C137" s="112"/>
      <c r="D137" s="8" t="s">
        <v>163</v>
      </c>
      <c r="E137" s="21" t="s">
        <v>45</v>
      </c>
      <c r="F137" s="62">
        <f>3.14*0.5*0.5*4*(40)/27</f>
        <v>4.6518518518518519</v>
      </c>
      <c r="G137" s="15">
        <v>42.576000000000001</v>
      </c>
      <c r="H137" s="15">
        <f t="shared" si="5"/>
        <v>198.05724444444445</v>
      </c>
      <c r="I137" s="15">
        <v>19.362379400000002</v>
      </c>
      <c r="J137" s="15">
        <f t="shared" si="6"/>
        <v>90.070920468148159</v>
      </c>
      <c r="K137" s="15">
        <f t="shared" si="8"/>
        <v>288.12816491259264</v>
      </c>
      <c r="L137" s="43"/>
    </row>
    <row r="138" spans="2:13" x14ac:dyDescent="0.2">
      <c r="B138" s="42">
        <f>IF(F138&lt;&gt;"",1+MAX($B$22:B137),"")</f>
        <v>68</v>
      </c>
      <c r="C138" s="112"/>
      <c r="D138" s="8" t="s">
        <v>59</v>
      </c>
      <c r="E138" s="21" t="s">
        <v>45</v>
      </c>
      <c r="F138" s="62">
        <v>18.7</v>
      </c>
      <c r="G138" s="67">
        <v>0</v>
      </c>
      <c r="H138" s="67">
        <f t="shared" si="5"/>
        <v>0</v>
      </c>
      <c r="I138" s="15">
        <v>9.9225490000000001</v>
      </c>
      <c r="J138" s="15">
        <f t="shared" si="6"/>
        <v>185.55166629999999</v>
      </c>
      <c r="K138" s="15">
        <f t="shared" si="8"/>
        <v>185.55166629999999</v>
      </c>
      <c r="L138" s="43"/>
    </row>
    <row r="139" spans="2:13" x14ac:dyDescent="0.2">
      <c r="B139" s="42">
        <f>IF(F139&lt;&gt;"",1+MAX($B$22:B138),"")</f>
        <v>69</v>
      </c>
      <c r="C139" s="46"/>
      <c r="D139" s="8" t="s">
        <v>363</v>
      </c>
      <c r="E139" s="21" t="s">
        <v>364</v>
      </c>
      <c r="F139" s="61">
        <f>F138/60*3</f>
        <v>0.93499999999999994</v>
      </c>
      <c r="G139" s="67">
        <v>0</v>
      </c>
      <c r="H139" s="67">
        <f t="shared" si="5"/>
        <v>0</v>
      </c>
      <c r="I139" s="15">
        <v>130</v>
      </c>
      <c r="J139" s="15">
        <f t="shared" si="6"/>
        <v>121.55</v>
      </c>
      <c r="K139" s="15">
        <f t="shared" si="8"/>
        <v>121.55</v>
      </c>
      <c r="L139" s="43"/>
      <c r="M139" s="11"/>
    </row>
    <row r="140" spans="2:13" x14ac:dyDescent="0.2">
      <c r="B140" s="42" t="str">
        <f>IF(F140&lt;&gt;"",1+MAX($B$22:B138),"")</f>
        <v/>
      </c>
      <c r="C140" s="46"/>
      <c r="D140" s="8"/>
      <c r="E140" s="21"/>
      <c r="F140" s="34"/>
      <c r="G140" s="15">
        <v>0</v>
      </c>
      <c r="H140" s="15">
        <f t="shared" si="5"/>
        <v>0</v>
      </c>
      <c r="I140" s="15">
        <v>0</v>
      </c>
      <c r="J140" s="15">
        <f t="shared" si="6"/>
        <v>0</v>
      </c>
      <c r="K140" s="15">
        <f t="shared" si="8"/>
        <v>0</v>
      </c>
      <c r="L140" s="43"/>
    </row>
    <row r="141" spans="2:13" x14ac:dyDescent="0.2">
      <c r="B141" s="59" t="str">
        <f>IF(F141&lt;&gt;"",1+MAX($B$22:B140),"")</f>
        <v/>
      </c>
      <c r="C141" s="59"/>
      <c r="D141" s="59" t="s">
        <v>70</v>
      </c>
      <c r="E141" s="21"/>
      <c r="F141" s="34"/>
      <c r="G141" s="15">
        <v>0</v>
      </c>
      <c r="H141" s="15">
        <f t="shared" si="5"/>
        <v>0</v>
      </c>
      <c r="I141" s="15">
        <v>0</v>
      </c>
      <c r="J141" s="15">
        <f t="shared" si="6"/>
        <v>0</v>
      </c>
      <c r="K141" s="15">
        <f t="shared" si="8"/>
        <v>0</v>
      </c>
      <c r="L141" s="43"/>
      <c r="M141" s="11"/>
    </row>
    <row r="142" spans="2:13" x14ac:dyDescent="0.2">
      <c r="B142" s="42">
        <f>IF(F142&lt;&gt;"",1+MAX($B$22:B141),"")</f>
        <v>70</v>
      </c>
      <c r="C142" s="112" t="s">
        <v>211</v>
      </c>
      <c r="D142" s="8" t="s">
        <v>127</v>
      </c>
      <c r="E142" s="21" t="s">
        <v>44</v>
      </c>
      <c r="F142" s="34">
        <v>15737</v>
      </c>
      <c r="G142" s="15">
        <v>1.6409500000000001</v>
      </c>
      <c r="H142" s="15">
        <f t="shared" si="5"/>
        <v>25823.630150000001</v>
      </c>
      <c r="I142" s="15">
        <v>2.4129560000000003</v>
      </c>
      <c r="J142" s="15">
        <f t="shared" si="6"/>
        <v>37972.688572000006</v>
      </c>
      <c r="K142" s="15">
        <f t="shared" si="8"/>
        <v>63796.318722000011</v>
      </c>
      <c r="L142" s="43"/>
      <c r="M142" s="11"/>
    </row>
    <row r="143" spans="2:13" x14ac:dyDescent="0.2">
      <c r="B143" s="42">
        <f>IF(F143&lt;&gt;"",1+MAX($B$22:B142),"")</f>
        <v>71</v>
      </c>
      <c r="C143" s="112"/>
      <c r="D143" s="8" t="s">
        <v>128</v>
      </c>
      <c r="E143" s="21" t="s">
        <v>44</v>
      </c>
      <c r="F143" s="34">
        <v>1849</v>
      </c>
      <c r="G143" s="15">
        <v>1.6409500000000001</v>
      </c>
      <c r="H143" s="15">
        <f t="shared" si="5"/>
        <v>3034.1165500000002</v>
      </c>
      <c r="I143" s="15">
        <v>2.4129560000000003</v>
      </c>
      <c r="J143" s="15">
        <f t="shared" si="6"/>
        <v>4461.5556440000009</v>
      </c>
      <c r="K143" s="15">
        <f t="shared" si="8"/>
        <v>7495.6721940000007</v>
      </c>
      <c r="L143" s="43"/>
      <c r="M143" s="11"/>
    </row>
    <row r="144" spans="2:13" x14ac:dyDescent="0.2">
      <c r="B144" s="42" t="str">
        <f>IF(F144&lt;&gt;"",1+MAX($B$22:B143),"")</f>
        <v/>
      </c>
      <c r="C144" s="46"/>
      <c r="D144" s="8"/>
      <c r="E144" s="21"/>
      <c r="F144" s="24"/>
      <c r="G144" s="15">
        <v>0</v>
      </c>
      <c r="H144" s="15">
        <f t="shared" si="5"/>
        <v>0</v>
      </c>
      <c r="I144" s="15">
        <v>0</v>
      </c>
      <c r="J144" s="15">
        <f t="shared" si="6"/>
        <v>0</v>
      </c>
      <c r="K144" s="15">
        <f t="shared" si="8"/>
        <v>0</v>
      </c>
      <c r="L144" s="43"/>
      <c r="M144" s="11"/>
    </row>
    <row r="145" spans="2:13" x14ac:dyDescent="0.2">
      <c r="B145" s="57" t="str">
        <f>IF(F145&lt;&gt;"",1+MAX($B$22:B144),"")</f>
        <v/>
      </c>
      <c r="C145" s="59"/>
      <c r="D145" s="59" t="s">
        <v>80</v>
      </c>
      <c r="E145" s="21"/>
      <c r="F145" s="34"/>
      <c r="G145" s="15">
        <v>0</v>
      </c>
      <c r="H145" s="15">
        <f t="shared" si="5"/>
        <v>0</v>
      </c>
      <c r="I145" s="15">
        <v>0</v>
      </c>
      <c r="J145" s="15">
        <f t="shared" si="6"/>
        <v>0</v>
      </c>
      <c r="K145" s="15">
        <f t="shared" si="8"/>
        <v>0</v>
      </c>
      <c r="L145" s="43"/>
    </row>
    <row r="146" spans="2:13" x14ac:dyDescent="0.2">
      <c r="B146" s="42" t="str">
        <f>IF(F146&lt;&gt;"",1+MAX($B$22:B145),"")</f>
        <v/>
      </c>
      <c r="C146" s="46"/>
      <c r="D146" s="8"/>
      <c r="E146" s="21"/>
      <c r="F146" s="34"/>
      <c r="G146" s="15">
        <v>0</v>
      </c>
      <c r="H146" s="15">
        <f t="shared" si="5"/>
        <v>0</v>
      </c>
      <c r="I146" s="15">
        <v>0</v>
      </c>
      <c r="J146" s="15">
        <f t="shared" si="6"/>
        <v>0</v>
      </c>
      <c r="K146" s="15">
        <f t="shared" si="8"/>
        <v>0</v>
      </c>
      <c r="L146" s="43"/>
      <c r="M146" s="11"/>
    </row>
    <row r="147" spans="2:13" x14ac:dyDescent="0.2">
      <c r="B147" s="42" t="str">
        <f>IF(F147&lt;&gt;"",1+MAX($B$22:B146),"")</f>
        <v/>
      </c>
      <c r="C147" s="46"/>
      <c r="D147" s="44" t="s">
        <v>81</v>
      </c>
      <c r="E147" s="21"/>
      <c r="F147" s="34"/>
      <c r="G147" s="15">
        <v>0</v>
      </c>
      <c r="H147" s="15">
        <f t="shared" si="5"/>
        <v>0</v>
      </c>
      <c r="I147" s="15">
        <v>0</v>
      </c>
      <c r="J147" s="15">
        <f t="shared" si="6"/>
        <v>0</v>
      </c>
      <c r="K147" s="15">
        <f t="shared" si="8"/>
        <v>0</v>
      </c>
      <c r="L147" s="43"/>
      <c r="M147" s="11"/>
    </row>
    <row r="148" spans="2:13" ht="38.25" x14ac:dyDescent="0.2">
      <c r="B148" s="42">
        <f>IF(F148&lt;&gt;"",1+MAX($B$22:B147),"")</f>
        <v>72</v>
      </c>
      <c r="C148" s="112" t="s">
        <v>211</v>
      </c>
      <c r="D148" s="8" t="s">
        <v>129</v>
      </c>
      <c r="E148" s="21" t="s">
        <v>47</v>
      </c>
      <c r="F148" s="34">
        <v>1</v>
      </c>
      <c r="G148" s="15">
        <v>1108.75</v>
      </c>
      <c r="H148" s="15">
        <f t="shared" si="5"/>
        <v>1108.75</v>
      </c>
      <c r="I148" s="15">
        <v>2266.0956500000002</v>
      </c>
      <c r="J148" s="15">
        <f t="shared" si="6"/>
        <v>2266.0956500000002</v>
      </c>
      <c r="K148" s="15">
        <f t="shared" si="8"/>
        <v>3374.8456500000002</v>
      </c>
      <c r="L148" s="43"/>
      <c r="M148" s="11"/>
    </row>
    <row r="149" spans="2:13" x14ac:dyDescent="0.2">
      <c r="B149" s="42" t="str">
        <f>IF(F149&lt;&gt;"",1+MAX($B$22:B148),"")</f>
        <v/>
      </c>
      <c r="C149" s="112"/>
      <c r="D149" s="8"/>
      <c r="E149" s="21"/>
      <c r="F149" s="34"/>
      <c r="G149" s="15">
        <v>0</v>
      </c>
      <c r="H149" s="15">
        <f t="shared" ref="H149:H239" si="9">F149*G149</f>
        <v>0</v>
      </c>
      <c r="I149" s="15">
        <v>0</v>
      </c>
      <c r="J149" s="15">
        <f t="shared" ref="J149:J239" si="10">F149*I149</f>
        <v>0</v>
      </c>
      <c r="K149" s="15">
        <f t="shared" si="8"/>
        <v>0</v>
      </c>
      <c r="L149" s="43"/>
      <c r="M149" s="11"/>
    </row>
    <row r="150" spans="2:13" x14ac:dyDescent="0.2">
      <c r="B150" s="42" t="str">
        <f>IF(F150&lt;&gt;"",1+MAX($B$22:B149),"")</f>
        <v/>
      </c>
      <c r="C150" s="112"/>
      <c r="D150" s="44" t="s">
        <v>130</v>
      </c>
      <c r="E150" s="21"/>
      <c r="F150" s="34"/>
      <c r="G150" s="15">
        <v>0</v>
      </c>
      <c r="H150" s="15">
        <f t="shared" si="9"/>
        <v>0</v>
      </c>
      <c r="I150" s="15">
        <v>0</v>
      </c>
      <c r="J150" s="15">
        <f t="shared" si="10"/>
        <v>0</v>
      </c>
      <c r="K150" s="15">
        <f t="shared" si="8"/>
        <v>0</v>
      </c>
      <c r="L150" s="43"/>
      <c r="M150" s="11"/>
    </row>
    <row r="151" spans="2:13" ht="51" x14ac:dyDescent="0.2">
      <c r="B151" s="42">
        <f>IF(F151&lt;&gt;"",1+MAX($B$22:B150),"")</f>
        <v>73</v>
      </c>
      <c r="C151" s="112"/>
      <c r="D151" s="8" t="s">
        <v>131</v>
      </c>
      <c r="E151" s="21" t="s">
        <v>46</v>
      </c>
      <c r="F151" s="34">
        <v>5125</v>
      </c>
      <c r="G151" s="15">
        <v>1.9957500000000001</v>
      </c>
      <c r="H151" s="15">
        <f t="shared" si="9"/>
        <v>10228.21875</v>
      </c>
      <c r="I151" s="15">
        <v>2.2526868000000002</v>
      </c>
      <c r="J151" s="15">
        <f t="shared" si="10"/>
        <v>11545.019850000001</v>
      </c>
      <c r="K151" s="15">
        <f t="shared" si="8"/>
        <v>21773.238600000001</v>
      </c>
      <c r="L151" s="43"/>
      <c r="M151" s="11"/>
    </row>
    <row r="152" spans="2:13" x14ac:dyDescent="0.2">
      <c r="B152" s="42" t="str">
        <f>IF(F152&lt;&gt;"",1+MAX($B$22:B151),"")</f>
        <v/>
      </c>
      <c r="C152" s="112"/>
      <c r="D152" s="8"/>
      <c r="E152" s="21"/>
      <c r="F152" s="24"/>
      <c r="G152" s="15">
        <v>0</v>
      </c>
      <c r="H152" s="15">
        <f t="shared" si="9"/>
        <v>0</v>
      </c>
      <c r="I152" s="15">
        <v>0</v>
      </c>
      <c r="J152" s="15">
        <f t="shared" si="10"/>
        <v>0</v>
      </c>
      <c r="K152" s="15">
        <f t="shared" si="8"/>
        <v>0</v>
      </c>
      <c r="L152" s="43"/>
      <c r="M152" s="11"/>
    </row>
    <row r="153" spans="2:13" x14ac:dyDescent="0.2">
      <c r="B153" s="42" t="str">
        <f>IF(F153&lt;&gt;"",1+MAX($B$22:B152),"")</f>
        <v/>
      </c>
      <c r="C153" s="112"/>
      <c r="D153" s="44" t="s">
        <v>132</v>
      </c>
      <c r="E153" s="21"/>
      <c r="F153" s="34"/>
      <c r="G153" s="15">
        <v>0</v>
      </c>
      <c r="H153" s="15">
        <f t="shared" si="9"/>
        <v>0</v>
      </c>
      <c r="I153" s="15">
        <v>0</v>
      </c>
      <c r="J153" s="15">
        <f t="shared" si="10"/>
        <v>0</v>
      </c>
      <c r="K153" s="15">
        <f t="shared" si="8"/>
        <v>0</v>
      </c>
      <c r="L153" s="43"/>
      <c r="M153" s="11"/>
    </row>
    <row r="154" spans="2:13" x14ac:dyDescent="0.2">
      <c r="B154" s="42">
        <f>IF(F154&lt;&gt;"",1+MAX($B$22:B153),"")</f>
        <v>74</v>
      </c>
      <c r="C154" s="112"/>
      <c r="D154" s="8" t="s">
        <v>133</v>
      </c>
      <c r="E154" s="21" t="s">
        <v>44</v>
      </c>
      <c r="F154" s="34">
        <v>121</v>
      </c>
      <c r="G154" s="15">
        <v>1.1087500000000001</v>
      </c>
      <c r="H154" s="15">
        <f t="shared" si="9"/>
        <v>134.15875000000003</v>
      </c>
      <c r="I154" s="15">
        <v>2.1454160000000004</v>
      </c>
      <c r="J154" s="15">
        <f t="shared" si="10"/>
        <v>259.59533600000003</v>
      </c>
      <c r="K154" s="15">
        <f t="shared" si="8"/>
        <v>393.75408600000003</v>
      </c>
      <c r="L154" s="43"/>
      <c r="M154" s="11"/>
    </row>
    <row r="155" spans="2:13" x14ac:dyDescent="0.2">
      <c r="B155" s="42" t="str">
        <f>IF(F155&lt;&gt;"",1+MAX($B$22:B154),"")</f>
        <v/>
      </c>
      <c r="C155" s="112"/>
      <c r="D155" s="8"/>
      <c r="E155" s="21"/>
      <c r="F155" s="24"/>
      <c r="G155" s="15">
        <v>0</v>
      </c>
      <c r="H155" s="15">
        <f t="shared" si="9"/>
        <v>0</v>
      </c>
      <c r="I155" s="15">
        <v>0</v>
      </c>
      <c r="J155" s="15">
        <f t="shared" si="10"/>
        <v>0</v>
      </c>
      <c r="K155" s="15">
        <f t="shared" si="8"/>
        <v>0</v>
      </c>
      <c r="L155" s="43"/>
      <c r="M155" s="11"/>
    </row>
    <row r="156" spans="2:13" x14ac:dyDescent="0.2">
      <c r="B156" s="42" t="str">
        <f>IF(F156&lt;&gt;"",1+MAX($B$22:B155),"")</f>
        <v/>
      </c>
      <c r="C156" s="112"/>
      <c r="D156" s="44" t="s">
        <v>169</v>
      </c>
      <c r="E156" s="21"/>
      <c r="F156" s="34"/>
      <c r="G156" s="15">
        <v>0</v>
      </c>
      <c r="H156" s="15">
        <f t="shared" si="9"/>
        <v>0</v>
      </c>
      <c r="I156" s="15">
        <v>0</v>
      </c>
      <c r="J156" s="15">
        <f t="shared" si="10"/>
        <v>0</v>
      </c>
      <c r="K156" s="15">
        <f t="shared" si="8"/>
        <v>0</v>
      </c>
      <c r="L156" s="43"/>
      <c r="M156" s="11"/>
    </row>
    <row r="157" spans="2:13" x14ac:dyDescent="0.2">
      <c r="B157" s="42">
        <f>IF(F157&lt;&gt;"",1+MAX($B$22:B156),"")</f>
        <v>75</v>
      </c>
      <c r="C157" s="112"/>
      <c r="D157" s="8" t="s">
        <v>170</v>
      </c>
      <c r="E157" s="21" t="s">
        <v>46</v>
      </c>
      <c r="F157" s="34">
        <v>145</v>
      </c>
      <c r="G157" s="15">
        <v>259.00400000000002</v>
      </c>
      <c r="H157" s="15">
        <f t="shared" si="9"/>
        <v>37555.58</v>
      </c>
      <c r="I157" s="15">
        <v>45.203927859999993</v>
      </c>
      <c r="J157" s="15">
        <f t="shared" si="10"/>
        <v>6554.569539699999</v>
      </c>
      <c r="K157" s="15">
        <f t="shared" ref="K157:K188" si="11">H157+J157</f>
        <v>44110.149539700004</v>
      </c>
      <c r="L157" s="43"/>
      <c r="M157" s="11"/>
    </row>
    <row r="158" spans="2:13" x14ac:dyDescent="0.2">
      <c r="B158" s="42" t="str">
        <f>IF(F158&lt;&gt;"",1+MAX($B$22:B157),"")</f>
        <v/>
      </c>
      <c r="C158" s="112"/>
      <c r="D158" s="8"/>
      <c r="E158" s="21"/>
      <c r="F158" s="24"/>
      <c r="G158" s="15">
        <v>0</v>
      </c>
      <c r="H158" s="15">
        <f t="shared" si="9"/>
        <v>0</v>
      </c>
      <c r="I158" s="15">
        <v>0</v>
      </c>
      <c r="J158" s="15">
        <f t="shared" si="10"/>
        <v>0</v>
      </c>
      <c r="K158" s="15">
        <f t="shared" si="11"/>
        <v>0</v>
      </c>
      <c r="L158" s="43"/>
      <c r="M158" s="11"/>
    </row>
    <row r="159" spans="2:13" x14ac:dyDescent="0.2">
      <c r="B159" s="42" t="str">
        <f>IF(F159&lt;&gt;"",1+MAX($B$22:B158),"")</f>
        <v/>
      </c>
      <c r="C159" s="112"/>
      <c r="D159" s="44" t="s">
        <v>186</v>
      </c>
      <c r="E159" s="21"/>
      <c r="F159" s="34"/>
      <c r="G159" s="15">
        <v>0</v>
      </c>
      <c r="H159" s="15">
        <f t="shared" si="9"/>
        <v>0</v>
      </c>
      <c r="I159" s="15">
        <v>0</v>
      </c>
      <c r="J159" s="15">
        <f t="shared" si="10"/>
        <v>0</v>
      </c>
      <c r="K159" s="15">
        <f t="shared" si="11"/>
        <v>0</v>
      </c>
      <c r="L159" s="43"/>
      <c r="M159" s="11"/>
    </row>
    <row r="160" spans="2:13" x14ac:dyDescent="0.2">
      <c r="B160" s="42">
        <f>IF(F160&lt;&gt;"",1+MAX($B$22:B159),"")</f>
        <v>76</v>
      </c>
      <c r="C160" s="112"/>
      <c r="D160" s="8" t="s">
        <v>187</v>
      </c>
      <c r="E160" s="21" t="s">
        <v>44</v>
      </c>
      <c r="F160" s="34">
        <v>15</v>
      </c>
      <c r="G160" s="15">
        <v>1.09101</v>
      </c>
      <c r="H160" s="15">
        <f t="shared" si="9"/>
        <v>16.36515</v>
      </c>
      <c r="I160" s="15">
        <v>0.9654372</v>
      </c>
      <c r="J160" s="15">
        <f t="shared" si="10"/>
        <v>14.481558</v>
      </c>
      <c r="K160" s="15">
        <f t="shared" si="11"/>
        <v>30.846708</v>
      </c>
      <c r="L160" s="43"/>
      <c r="M160" s="11"/>
    </row>
    <row r="161" spans="2:13" x14ac:dyDescent="0.2">
      <c r="B161" s="42" t="str">
        <f>IF(F161&lt;&gt;"",1+MAX($B$22:B160),"")</f>
        <v/>
      </c>
      <c r="C161" s="112"/>
      <c r="D161" s="8"/>
      <c r="E161" s="21"/>
      <c r="F161" s="24"/>
      <c r="G161" s="15">
        <v>0</v>
      </c>
      <c r="H161" s="15">
        <f t="shared" si="9"/>
        <v>0</v>
      </c>
      <c r="I161" s="15">
        <v>0</v>
      </c>
      <c r="J161" s="15">
        <f t="shared" si="10"/>
        <v>0</v>
      </c>
      <c r="K161" s="15">
        <f t="shared" si="11"/>
        <v>0</v>
      </c>
      <c r="L161" s="43"/>
      <c r="M161" s="11"/>
    </row>
    <row r="162" spans="2:13" x14ac:dyDescent="0.2">
      <c r="B162" s="42" t="str">
        <f>IF(F162&lt;&gt;"",1+MAX($B$22:B161),"")</f>
        <v/>
      </c>
      <c r="C162" s="112"/>
      <c r="D162" s="44" t="s">
        <v>180</v>
      </c>
      <c r="E162" s="21"/>
      <c r="F162" s="34"/>
      <c r="G162" s="15">
        <v>0</v>
      </c>
      <c r="H162" s="15">
        <f t="shared" si="9"/>
        <v>0</v>
      </c>
      <c r="I162" s="15">
        <v>0</v>
      </c>
      <c r="J162" s="15">
        <f t="shared" si="10"/>
        <v>0</v>
      </c>
      <c r="K162" s="15">
        <f t="shared" si="11"/>
        <v>0</v>
      </c>
      <c r="L162" s="43"/>
      <c r="M162" s="11"/>
    </row>
    <row r="163" spans="2:13" x14ac:dyDescent="0.2">
      <c r="B163" s="42">
        <f>IF(F163&lt;&gt;"",1+MAX($B$22:B162),"")</f>
        <v>77</v>
      </c>
      <c r="C163" s="112"/>
      <c r="D163" s="8" t="s">
        <v>181</v>
      </c>
      <c r="E163" s="21" t="s">
        <v>47</v>
      </c>
      <c r="F163" s="34">
        <v>3</v>
      </c>
      <c r="G163" s="15">
        <v>31.045000000000002</v>
      </c>
      <c r="H163" s="15">
        <f t="shared" si="9"/>
        <v>93.135000000000005</v>
      </c>
      <c r="I163" s="15">
        <v>187.72390000000001</v>
      </c>
      <c r="J163" s="15">
        <f t="shared" si="10"/>
        <v>563.1717000000001</v>
      </c>
      <c r="K163" s="15">
        <f t="shared" si="11"/>
        <v>656.30670000000009</v>
      </c>
      <c r="L163" s="43"/>
      <c r="M163" s="11"/>
    </row>
    <row r="164" spans="2:13" x14ac:dyDescent="0.2">
      <c r="B164" s="42">
        <f>IF(F164&lt;&gt;"",1+MAX($B$22:B163),"")</f>
        <v>78</v>
      </c>
      <c r="C164" s="112"/>
      <c r="D164" s="8" t="s">
        <v>185</v>
      </c>
      <c r="E164" s="21" t="s">
        <v>47</v>
      </c>
      <c r="F164" s="34">
        <v>3</v>
      </c>
      <c r="G164" s="15">
        <v>110.875</v>
      </c>
      <c r="H164" s="15">
        <f t="shared" si="9"/>
        <v>332.625</v>
      </c>
      <c r="I164" s="15">
        <v>231.97310500000003</v>
      </c>
      <c r="J164" s="15">
        <f t="shared" si="10"/>
        <v>695.9193150000001</v>
      </c>
      <c r="K164" s="15">
        <f t="shared" si="11"/>
        <v>1028.5443150000001</v>
      </c>
      <c r="L164" s="43"/>
      <c r="M164" s="11"/>
    </row>
    <row r="165" spans="2:13" x14ac:dyDescent="0.2">
      <c r="B165" s="42" t="str">
        <f>IF(F165&lt;&gt;"",1+MAX($B$22:B164),"")</f>
        <v/>
      </c>
      <c r="C165" s="46"/>
      <c r="D165" s="8"/>
      <c r="E165" s="21"/>
      <c r="F165" s="24"/>
      <c r="G165" s="15">
        <v>0</v>
      </c>
      <c r="H165" s="15">
        <f t="shared" si="9"/>
        <v>0</v>
      </c>
      <c r="I165" s="15">
        <v>0</v>
      </c>
      <c r="J165" s="15">
        <f t="shared" si="10"/>
        <v>0</v>
      </c>
      <c r="K165" s="15">
        <f t="shared" si="11"/>
        <v>0</v>
      </c>
      <c r="L165" s="43"/>
      <c r="M165" s="11"/>
    </row>
    <row r="166" spans="2:13" x14ac:dyDescent="0.2">
      <c r="B166" s="57" t="str">
        <f>IF(F166&lt;&gt;"",1+MAX($B$22:B165),"")</f>
        <v/>
      </c>
      <c r="C166" s="58"/>
      <c r="D166" s="59" t="s">
        <v>53</v>
      </c>
      <c r="E166" s="21"/>
      <c r="F166" s="34"/>
      <c r="G166" s="15">
        <v>0</v>
      </c>
      <c r="H166" s="15">
        <f t="shared" si="9"/>
        <v>0</v>
      </c>
      <c r="I166" s="15">
        <v>0</v>
      </c>
      <c r="J166" s="15">
        <f t="shared" si="10"/>
        <v>0</v>
      </c>
      <c r="K166" s="15">
        <f t="shared" si="11"/>
        <v>0</v>
      </c>
      <c r="L166" s="43"/>
    </row>
    <row r="167" spans="2:13" x14ac:dyDescent="0.2">
      <c r="B167" s="42">
        <f>IF(F167&lt;&gt;"",1+MAX($B$22:B166),"")</f>
        <v>79</v>
      </c>
      <c r="C167" s="112" t="s">
        <v>211</v>
      </c>
      <c r="D167" s="8" t="s">
        <v>117</v>
      </c>
      <c r="E167" s="21" t="s">
        <v>47</v>
      </c>
      <c r="F167" s="34">
        <v>1</v>
      </c>
      <c r="G167" s="15">
        <v>133.05000000000001</v>
      </c>
      <c r="H167" s="15">
        <f t="shared" si="9"/>
        <v>133.05000000000001</v>
      </c>
      <c r="I167" s="15">
        <v>201.88262639999999</v>
      </c>
      <c r="J167" s="15">
        <f t="shared" si="10"/>
        <v>201.88262639999999</v>
      </c>
      <c r="K167" s="15">
        <f t="shared" si="11"/>
        <v>334.9326264</v>
      </c>
      <c r="L167" s="43"/>
      <c r="M167" s="11"/>
    </row>
    <row r="168" spans="2:13" x14ac:dyDescent="0.2">
      <c r="B168" s="42">
        <f>IF(F168&lt;&gt;"",1+MAX($B$22:B167),"")</f>
        <v>80</v>
      </c>
      <c r="C168" s="112"/>
      <c r="D168" s="8" t="s">
        <v>118</v>
      </c>
      <c r="E168" s="21" t="s">
        <v>46</v>
      </c>
      <c r="F168" s="34">
        <v>484</v>
      </c>
      <c r="G168" s="15">
        <v>0.75395000000000001</v>
      </c>
      <c r="H168" s="15">
        <f t="shared" si="9"/>
        <v>364.91180000000003</v>
      </c>
      <c r="I168" s="15">
        <v>2.2626239999999997</v>
      </c>
      <c r="J168" s="15">
        <f t="shared" si="10"/>
        <v>1095.1100159999999</v>
      </c>
      <c r="K168" s="15">
        <f t="shared" si="11"/>
        <v>1460.0218159999999</v>
      </c>
      <c r="L168" s="43"/>
      <c r="M168" s="11"/>
    </row>
    <row r="169" spans="2:13" x14ac:dyDescent="0.2">
      <c r="B169" s="42">
        <f>IF(F169&lt;&gt;"",1+MAX($B$22:B168),"")</f>
        <v>81</v>
      </c>
      <c r="C169" s="112"/>
      <c r="D169" s="8" t="s">
        <v>119</v>
      </c>
      <c r="E169" s="21" t="s">
        <v>46</v>
      </c>
      <c r="F169" s="34">
        <v>7180</v>
      </c>
      <c r="G169" s="15">
        <v>0.75395000000000001</v>
      </c>
      <c r="H169" s="15">
        <f t="shared" si="9"/>
        <v>5413.3609999999999</v>
      </c>
      <c r="I169" s="15">
        <v>2.2626239999999997</v>
      </c>
      <c r="J169" s="15">
        <f t="shared" si="10"/>
        <v>16245.640319999999</v>
      </c>
      <c r="K169" s="15">
        <f t="shared" si="11"/>
        <v>21659.001319999999</v>
      </c>
      <c r="L169" s="43"/>
      <c r="M169" s="11"/>
    </row>
    <row r="170" spans="2:13" x14ac:dyDescent="0.2">
      <c r="B170" s="42">
        <f>IF(F170&lt;&gt;"",1+MAX($B$22:B169),"")</f>
        <v>82</v>
      </c>
      <c r="C170" s="112"/>
      <c r="D170" s="8" t="s">
        <v>120</v>
      </c>
      <c r="E170" s="21" t="s">
        <v>47</v>
      </c>
      <c r="F170" s="34">
        <v>8</v>
      </c>
      <c r="G170" s="15">
        <v>133.05000000000001</v>
      </c>
      <c r="H170" s="15">
        <f t="shared" si="9"/>
        <v>1064.4000000000001</v>
      </c>
      <c r="I170" s="15">
        <v>201.88262639999999</v>
      </c>
      <c r="J170" s="15">
        <f t="shared" si="10"/>
        <v>1615.0610111999999</v>
      </c>
      <c r="K170" s="15">
        <f t="shared" si="11"/>
        <v>2679.4610112</v>
      </c>
      <c r="L170" s="43"/>
      <c r="M170" s="11"/>
    </row>
    <row r="171" spans="2:13" x14ac:dyDescent="0.2">
      <c r="B171" s="42">
        <f>IF(F171&lt;&gt;"",1+MAX($B$22:B170),"")</f>
        <v>83</v>
      </c>
      <c r="C171" s="112"/>
      <c r="D171" s="8" t="s">
        <v>121</v>
      </c>
      <c r="E171" s="21" t="s">
        <v>46</v>
      </c>
      <c r="F171" s="34">
        <v>52</v>
      </c>
      <c r="G171" s="15">
        <v>0.75395000000000001</v>
      </c>
      <c r="H171" s="15">
        <f t="shared" si="9"/>
        <v>39.205399999999997</v>
      </c>
      <c r="I171" s="15">
        <v>2.2626239999999997</v>
      </c>
      <c r="J171" s="15">
        <f t="shared" si="10"/>
        <v>117.65644799999998</v>
      </c>
      <c r="K171" s="15">
        <f t="shared" si="11"/>
        <v>156.86184799999998</v>
      </c>
      <c r="L171" s="43"/>
      <c r="M171" s="11"/>
    </row>
    <row r="172" spans="2:13" x14ac:dyDescent="0.2">
      <c r="B172" s="42">
        <f>IF(F172&lt;&gt;"",1+MAX($B$22:B171),"")</f>
        <v>84</v>
      </c>
      <c r="C172" s="112"/>
      <c r="D172" s="8" t="s">
        <v>125</v>
      </c>
      <c r="E172" s="21" t="s">
        <v>46</v>
      </c>
      <c r="F172" s="34">
        <v>32</v>
      </c>
      <c r="G172" s="15">
        <v>2.8384</v>
      </c>
      <c r="H172" s="15">
        <f t="shared" si="9"/>
        <v>90.828800000000001</v>
      </c>
      <c r="I172" s="15">
        <v>2.9414111999999997</v>
      </c>
      <c r="J172" s="15">
        <f t="shared" si="10"/>
        <v>94.125158399999989</v>
      </c>
      <c r="K172" s="15">
        <f t="shared" si="11"/>
        <v>184.95395839999998</v>
      </c>
      <c r="L172" s="43"/>
      <c r="M172" s="11"/>
    </row>
    <row r="173" spans="2:13" x14ac:dyDescent="0.2">
      <c r="B173" s="42">
        <f>IF(F173&lt;&gt;"",1+MAX($B$22:B172),"")</f>
        <v>85</v>
      </c>
      <c r="C173" s="112"/>
      <c r="D173" s="8" t="s">
        <v>122</v>
      </c>
      <c r="E173" s="21" t="s">
        <v>47</v>
      </c>
      <c r="F173" s="34">
        <v>1</v>
      </c>
      <c r="G173" s="15">
        <v>75.394999999999996</v>
      </c>
      <c r="H173" s="15">
        <f t="shared" si="9"/>
        <v>75.394999999999996</v>
      </c>
      <c r="I173" s="15">
        <v>162.62609999999998</v>
      </c>
      <c r="J173" s="15">
        <f t="shared" si="10"/>
        <v>162.62609999999998</v>
      </c>
      <c r="K173" s="15">
        <f t="shared" si="11"/>
        <v>238.02109999999999</v>
      </c>
      <c r="L173" s="43"/>
      <c r="M173" s="11"/>
    </row>
    <row r="174" spans="2:13" x14ac:dyDescent="0.2">
      <c r="B174" s="42">
        <f>IF(F174&lt;&gt;"",1+MAX($B$22:B173),"")</f>
        <v>86</v>
      </c>
      <c r="C174" s="112"/>
      <c r="D174" s="8" t="s">
        <v>123</v>
      </c>
      <c r="E174" s="21" t="s">
        <v>47</v>
      </c>
      <c r="F174" s="34">
        <v>2</v>
      </c>
      <c r="G174" s="15">
        <v>75.394999999999996</v>
      </c>
      <c r="H174" s="15">
        <f t="shared" si="9"/>
        <v>150.79</v>
      </c>
      <c r="I174" s="15">
        <v>162.62609999999998</v>
      </c>
      <c r="J174" s="15">
        <f t="shared" si="10"/>
        <v>325.25219999999996</v>
      </c>
      <c r="K174" s="15">
        <f t="shared" si="11"/>
        <v>476.04219999999998</v>
      </c>
      <c r="L174" s="43"/>
      <c r="M174" s="11"/>
    </row>
    <row r="175" spans="2:13" x14ac:dyDescent="0.2">
      <c r="B175" s="42">
        <f>IF(F175&lt;&gt;"",1+MAX($B$22:B174),"")</f>
        <v>87</v>
      </c>
      <c r="C175" s="112"/>
      <c r="D175" s="8" t="s">
        <v>124</v>
      </c>
      <c r="E175" s="21" t="s">
        <v>47</v>
      </c>
      <c r="F175" s="34">
        <v>1</v>
      </c>
      <c r="G175" s="15">
        <v>75.394999999999996</v>
      </c>
      <c r="H175" s="15">
        <f t="shared" si="9"/>
        <v>75.394999999999996</v>
      </c>
      <c r="I175" s="15">
        <v>162.62609999999998</v>
      </c>
      <c r="J175" s="15">
        <f t="shared" si="10"/>
        <v>162.62609999999998</v>
      </c>
      <c r="K175" s="15">
        <f t="shared" si="11"/>
        <v>238.02109999999999</v>
      </c>
      <c r="L175" s="43"/>
      <c r="M175" s="11"/>
    </row>
    <row r="176" spans="2:13" x14ac:dyDescent="0.2">
      <c r="B176" s="42" t="str">
        <f>IF(F176&lt;&gt;"",1+MAX($B$22:B175),"")</f>
        <v/>
      </c>
      <c r="C176" s="46"/>
      <c r="D176" s="8"/>
      <c r="E176" s="21"/>
      <c r="F176" s="24"/>
      <c r="G176" s="15">
        <v>0</v>
      </c>
      <c r="H176" s="15">
        <f t="shared" si="9"/>
        <v>0</v>
      </c>
      <c r="I176" s="15">
        <v>0</v>
      </c>
      <c r="J176" s="15">
        <f t="shared" si="10"/>
        <v>0</v>
      </c>
      <c r="K176" s="15">
        <f t="shared" si="11"/>
        <v>0</v>
      </c>
      <c r="L176" s="43"/>
      <c r="M176" s="11"/>
    </row>
    <row r="177" spans="2:13" x14ac:dyDescent="0.2">
      <c r="B177" s="57" t="str">
        <f>IF(F177&lt;&gt;"",1+MAX($B$22:B176),"")</f>
        <v/>
      </c>
      <c r="C177" s="58"/>
      <c r="D177" s="59" t="s">
        <v>78</v>
      </c>
      <c r="E177" s="21"/>
      <c r="F177" s="34"/>
      <c r="G177" s="15">
        <v>0</v>
      </c>
      <c r="H177" s="15">
        <f t="shared" si="9"/>
        <v>0</v>
      </c>
      <c r="I177" s="15">
        <v>0</v>
      </c>
      <c r="J177" s="15">
        <f t="shared" si="10"/>
        <v>0</v>
      </c>
      <c r="K177" s="15">
        <f t="shared" si="11"/>
        <v>0</v>
      </c>
      <c r="L177" s="43"/>
    </row>
    <row r="178" spans="2:13" ht="41.45" customHeight="1" x14ac:dyDescent="0.2">
      <c r="B178" s="42">
        <f>IF(F178&lt;&gt;"",1+MAX($B$22:B177),"")</f>
        <v>88</v>
      </c>
      <c r="C178" s="112" t="s">
        <v>211</v>
      </c>
      <c r="D178" s="8" t="s">
        <v>174</v>
      </c>
      <c r="E178" s="21" t="s">
        <v>47</v>
      </c>
      <c r="F178" s="34">
        <v>8</v>
      </c>
      <c r="G178" s="15">
        <v>461.24</v>
      </c>
      <c r="H178" s="15">
        <f t="shared" si="9"/>
        <v>3689.92</v>
      </c>
      <c r="I178" s="15">
        <v>278.44544000000002</v>
      </c>
      <c r="J178" s="15">
        <f t="shared" si="10"/>
        <v>2227.5635200000002</v>
      </c>
      <c r="K178" s="15">
        <f t="shared" si="11"/>
        <v>5917.4835199999998</v>
      </c>
      <c r="L178" s="43"/>
      <c r="M178" s="11"/>
    </row>
    <row r="179" spans="2:13" ht="25.5" x14ac:dyDescent="0.2">
      <c r="B179" s="42">
        <f>IF(F179&lt;&gt;"",1+MAX($B$22:B178),"")</f>
        <v>89</v>
      </c>
      <c r="C179" s="112"/>
      <c r="D179" s="8" t="s">
        <v>175</v>
      </c>
      <c r="E179" s="21" t="s">
        <v>47</v>
      </c>
      <c r="F179" s="34">
        <v>7</v>
      </c>
      <c r="G179" s="15">
        <v>527.76499999999999</v>
      </c>
      <c r="H179" s="15">
        <f t="shared" si="9"/>
        <v>3694.355</v>
      </c>
      <c r="I179" s="15">
        <v>278.44544000000002</v>
      </c>
      <c r="J179" s="15">
        <f t="shared" si="10"/>
        <v>1949.1180800000002</v>
      </c>
      <c r="K179" s="15">
        <f t="shared" si="11"/>
        <v>5643.4730799999998</v>
      </c>
      <c r="L179" s="43"/>
      <c r="M179" s="11"/>
    </row>
    <row r="180" spans="2:13" ht="12.75" customHeight="1" x14ac:dyDescent="0.2">
      <c r="B180" s="42">
        <f>IF(F180&lt;&gt;"",1+MAX($B$22:B179),"")</f>
        <v>90</v>
      </c>
      <c r="C180" s="112"/>
      <c r="D180" s="8" t="s">
        <v>176</v>
      </c>
      <c r="E180" s="21" t="s">
        <v>47</v>
      </c>
      <c r="F180" s="34">
        <v>10</v>
      </c>
      <c r="G180" s="15">
        <v>399.15</v>
      </c>
      <c r="H180" s="15">
        <f t="shared" si="9"/>
        <v>3991.5</v>
      </c>
      <c r="I180" s="15">
        <v>208.83408000000003</v>
      </c>
      <c r="J180" s="15">
        <f t="shared" si="10"/>
        <v>2088.3408000000004</v>
      </c>
      <c r="K180" s="15">
        <f t="shared" si="11"/>
        <v>6079.8407999999999</v>
      </c>
      <c r="L180" s="43"/>
      <c r="M180" s="11"/>
    </row>
    <row r="181" spans="2:13" ht="25.5" x14ac:dyDescent="0.2">
      <c r="B181" s="42">
        <f>IF(F181&lt;&gt;"",1+MAX($B$22:B180),"")</f>
        <v>91</v>
      </c>
      <c r="C181" s="112"/>
      <c r="D181" s="8" t="s">
        <v>177</v>
      </c>
      <c r="E181" s="21" t="s">
        <v>47</v>
      </c>
      <c r="F181" s="34">
        <v>43</v>
      </c>
      <c r="G181" s="15">
        <v>399.15</v>
      </c>
      <c r="H181" s="15">
        <f t="shared" si="9"/>
        <v>17163.45</v>
      </c>
      <c r="I181" s="15">
        <v>278.44544000000002</v>
      </c>
      <c r="J181" s="15">
        <f t="shared" si="10"/>
        <v>11973.153920000001</v>
      </c>
      <c r="K181" s="15">
        <f t="shared" si="11"/>
        <v>29136.603920000001</v>
      </c>
      <c r="L181" s="43"/>
      <c r="M181" s="11"/>
    </row>
    <row r="182" spans="2:13" x14ac:dyDescent="0.2">
      <c r="B182" s="42" t="str">
        <f>IF(F182&lt;&gt;"",1+MAX($B$22:B181),"")</f>
        <v/>
      </c>
      <c r="C182" s="112"/>
      <c r="D182" s="8"/>
      <c r="E182" s="21"/>
      <c r="F182" s="34"/>
      <c r="G182" s="15">
        <v>0</v>
      </c>
      <c r="H182" s="15">
        <f t="shared" si="9"/>
        <v>0</v>
      </c>
      <c r="I182" s="15">
        <v>0</v>
      </c>
      <c r="J182" s="15">
        <f t="shared" si="10"/>
        <v>0</v>
      </c>
      <c r="K182" s="15">
        <f t="shared" si="11"/>
        <v>0</v>
      </c>
      <c r="L182" s="43"/>
      <c r="M182" s="11"/>
    </row>
    <row r="183" spans="2:13" x14ac:dyDescent="0.2">
      <c r="B183" s="42" t="str">
        <f>IF(F183&lt;&gt;"",1+MAX($B$22:B182),"")</f>
        <v/>
      </c>
      <c r="C183" s="112"/>
      <c r="D183" s="44" t="s">
        <v>58</v>
      </c>
      <c r="E183" s="21"/>
      <c r="F183" s="34"/>
      <c r="G183" s="15">
        <v>0</v>
      </c>
      <c r="H183" s="15">
        <f t="shared" si="9"/>
        <v>0</v>
      </c>
      <c r="I183" s="15">
        <v>0</v>
      </c>
      <c r="J183" s="15">
        <f t="shared" si="10"/>
        <v>0</v>
      </c>
      <c r="K183" s="15">
        <f t="shared" si="11"/>
        <v>0</v>
      </c>
      <c r="L183" s="43"/>
      <c r="M183" s="11"/>
    </row>
    <row r="184" spans="2:13" x14ac:dyDescent="0.2">
      <c r="B184" s="42">
        <f>IF(F184&lt;&gt;"",1+MAX($B$22:B183),"")</f>
        <v>92</v>
      </c>
      <c r="C184" s="112"/>
      <c r="D184" s="8" t="s">
        <v>48</v>
      </c>
      <c r="E184" s="21" t="s">
        <v>45</v>
      </c>
      <c r="F184" s="61">
        <f>3.14*0.5*0.5*3.5*68/27</f>
        <v>6.9196296296296298</v>
      </c>
      <c r="G184" s="67">
        <v>0</v>
      </c>
      <c r="H184" s="67">
        <f t="shared" si="9"/>
        <v>0</v>
      </c>
      <c r="I184" s="15">
        <v>36.418436600000007</v>
      </c>
      <c r="J184" s="15">
        <f t="shared" si="10"/>
        <v>252.0020929621482</v>
      </c>
      <c r="K184" s="15">
        <f t="shared" si="11"/>
        <v>252.0020929621482</v>
      </c>
      <c r="L184" s="43"/>
      <c r="M184" s="11"/>
    </row>
    <row r="185" spans="2:13" x14ac:dyDescent="0.2">
      <c r="B185" s="42">
        <f>IF(F185&lt;&gt;"",1+MAX($B$22:B184),"")</f>
        <v>93</v>
      </c>
      <c r="C185" s="112"/>
      <c r="D185" s="8" t="s">
        <v>59</v>
      </c>
      <c r="E185" s="21" t="s">
        <v>45</v>
      </c>
      <c r="F185" s="61">
        <f>3.14*0.5*0.5*3.5*68/27</f>
        <v>6.9196296296296298</v>
      </c>
      <c r="G185" s="67">
        <v>0</v>
      </c>
      <c r="H185" s="67">
        <f t="shared" si="9"/>
        <v>0</v>
      </c>
      <c r="I185" s="15">
        <v>9.9225490000000001</v>
      </c>
      <c r="J185" s="15">
        <f t="shared" si="10"/>
        <v>68.660364061851851</v>
      </c>
      <c r="K185" s="15">
        <f t="shared" si="11"/>
        <v>68.660364061851851</v>
      </c>
      <c r="L185" s="43"/>
      <c r="M185" s="11"/>
    </row>
    <row r="186" spans="2:13" x14ac:dyDescent="0.2">
      <c r="B186" s="42">
        <f>IF(F186&lt;&gt;"",1+MAX($B$22:B185),"")</f>
        <v>94</v>
      </c>
      <c r="C186" s="112"/>
      <c r="D186" s="8" t="s">
        <v>363</v>
      </c>
      <c r="E186" s="21" t="s">
        <v>364</v>
      </c>
      <c r="F186" s="61">
        <f>F185/60*3</f>
        <v>0.34598148148148145</v>
      </c>
      <c r="G186" s="67">
        <v>0</v>
      </c>
      <c r="H186" s="67">
        <f t="shared" si="9"/>
        <v>0</v>
      </c>
      <c r="I186" s="15">
        <v>130</v>
      </c>
      <c r="J186" s="15">
        <f t="shared" si="10"/>
        <v>44.977592592592586</v>
      </c>
      <c r="K186" s="15">
        <f t="shared" si="11"/>
        <v>44.977592592592586</v>
      </c>
      <c r="L186" s="43"/>
      <c r="M186" s="11"/>
    </row>
    <row r="187" spans="2:13" x14ac:dyDescent="0.2">
      <c r="B187" s="42" t="str">
        <f>IF(F187&lt;&gt;"",1+MAX($B$22:B186),"")</f>
        <v/>
      </c>
      <c r="C187" s="46"/>
      <c r="D187" s="8"/>
      <c r="E187" s="21"/>
      <c r="F187" s="34"/>
      <c r="G187" s="15">
        <v>0</v>
      </c>
      <c r="H187" s="15">
        <f t="shared" si="9"/>
        <v>0</v>
      </c>
      <c r="I187" s="15">
        <v>0</v>
      </c>
      <c r="J187" s="15">
        <f t="shared" si="10"/>
        <v>0</v>
      </c>
      <c r="K187" s="15">
        <f t="shared" si="11"/>
        <v>0</v>
      </c>
      <c r="L187" s="43"/>
      <c r="M187" s="11"/>
    </row>
    <row r="188" spans="2:13" x14ac:dyDescent="0.2">
      <c r="B188" s="57" t="str">
        <f>IF(F188&lt;&gt;"",1+MAX($B$22:B187),"")</f>
        <v/>
      </c>
      <c r="C188" s="58"/>
      <c r="D188" s="59" t="s">
        <v>194</v>
      </c>
      <c r="E188" s="21"/>
      <c r="F188" s="34"/>
      <c r="G188" s="15">
        <v>0</v>
      </c>
      <c r="H188" s="15">
        <f t="shared" si="9"/>
        <v>0</v>
      </c>
      <c r="I188" s="15">
        <v>0</v>
      </c>
      <c r="J188" s="15">
        <f t="shared" si="10"/>
        <v>0</v>
      </c>
      <c r="K188" s="15">
        <f t="shared" si="11"/>
        <v>0</v>
      </c>
      <c r="L188" s="43"/>
    </row>
    <row r="189" spans="2:13" ht="38.25" x14ac:dyDescent="0.2">
      <c r="B189" s="42">
        <f>IF(F189&lt;&gt;"",1+MAX($B$22:B188),"")</f>
        <v>95</v>
      </c>
      <c r="C189" s="46" t="s">
        <v>211</v>
      </c>
      <c r="D189" s="8" t="s">
        <v>195</v>
      </c>
      <c r="E189" s="21" t="s">
        <v>46</v>
      </c>
      <c r="F189" s="34">
        <v>587</v>
      </c>
      <c r="G189" s="15">
        <v>63.198750000000004</v>
      </c>
      <c r="H189" s="15">
        <f t="shared" si="9"/>
        <v>37097.666250000002</v>
      </c>
      <c r="I189" s="15">
        <v>23.899297239999999</v>
      </c>
      <c r="J189" s="15">
        <f t="shared" si="10"/>
        <v>14028.887479879999</v>
      </c>
      <c r="K189" s="15">
        <f t="shared" ref="K189:K218" si="12">H189+J189</f>
        <v>51126.553729880005</v>
      </c>
      <c r="L189" s="43"/>
      <c r="M189" s="11"/>
    </row>
    <row r="190" spans="2:13" x14ac:dyDescent="0.2">
      <c r="B190" s="42" t="str">
        <f>IF(F190&lt;&gt;"",1+MAX($B$22:B189),"")</f>
        <v/>
      </c>
      <c r="C190" s="46"/>
      <c r="D190" s="8"/>
      <c r="E190" s="21"/>
      <c r="F190" s="34"/>
      <c r="G190" s="15">
        <v>0</v>
      </c>
      <c r="H190" s="15">
        <f t="shared" si="9"/>
        <v>0</v>
      </c>
      <c r="I190" s="15">
        <v>0</v>
      </c>
      <c r="J190" s="15">
        <f t="shared" si="10"/>
        <v>0</v>
      </c>
      <c r="K190" s="15">
        <f t="shared" si="12"/>
        <v>0</v>
      </c>
      <c r="L190" s="43"/>
      <c r="M190" s="11"/>
    </row>
    <row r="191" spans="2:13" x14ac:dyDescent="0.2">
      <c r="B191" s="57" t="str">
        <f>IF(F191&lt;&gt;"",1+MAX($B$22:B190),"")</f>
        <v/>
      </c>
      <c r="C191" s="58"/>
      <c r="D191" s="59" t="s">
        <v>196</v>
      </c>
      <c r="E191" s="21"/>
      <c r="F191" s="34"/>
      <c r="G191" s="15">
        <v>0</v>
      </c>
      <c r="H191" s="15">
        <f t="shared" si="9"/>
        <v>0</v>
      </c>
      <c r="I191" s="15">
        <v>0</v>
      </c>
      <c r="J191" s="15">
        <f t="shared" si="10"/>
        <v>0</v>
      </c>
      <c r="K191" s="15">
        <f t="shared" si="12"/>
        <v>0</v>
      </c>
      <c r="L191" s="43"/>
    </row>
    <row r="192" spans="2:13" ht="25.5" x14ac:dyDescent="0.2">
      <c r="B192" s="42">
        <f>IF(F192&lt;&gt;"",1+MAX($B$22:B191),"")</f>
        <v>96</v>
      </c>
      <c r="C192" s="112" t="s">
        <v>211</v>
      </c>
      <c r="D192" s="8" t="s">
        <v>197</v>
      </c>
      <c r="E192" s="21" t="s">
        <v>46</v>
      </c>
      <c r="F192" s="34">
        <v>487</v>
      </c>
      <c r="G192" s="15">
        <v>18.139150000000001</v>
      </c>
      <c r="H192" s="15">
        <f t="shared" si="9"/>
        <v>8833.7660500000002</v>
      </c>
      <c r="I192" s="15">
        <v>12.781468699999998</v>
      </c>
      <c r="J192" s="15">
        <f t="shared" si="10"/>
        <v>6224.5752568999987</v>
      </c>
      <c r="K192" s="15">
        <f t="shared" si="12"/>
        <v>15058.341306899998</v>
      </c>
      <c r="L192" s="43"/>
      <c r="M192" s="11"/>
    </row>
    <row r="193" spans="2:13" x14ac:dyDescent="0.2">
      <c r="B193" s="42" t="str">
        <f>IF(F193&lt;&gt;"",1+MAX($B$22:B192),"")</f>
        <v/>
      </c>
      <c r="C193" s="112"/>
      <c r="D193" s="8"/>
      <c r="E193" s="21"/>
      <c r="F193" s="34"/>
      <c r="G193" s="15">
        <v>0</v>
      </c>
      <c r="H193" s="15">
        <f t="shared" si="9"/>
        <v>0</v>
      </c>
      <c r="I193" s="15">
        <v>0</v>
      </c>
      <c r="J193" s="15">
        <f t="shared" si="10"/>
        <v>0</v>
      </c>
      <c r="K193" s="15">
        <f t="shared" si="12"/>
        <v>0</v>
      </c>
      <c r="L193" s="43"/>
      <c r="M193" s="11"/>
    </row>
    <row r="194" spans="2:13" x14ac:dyDescent="0.2">
      <c r="B194" s="42" t="str">
        <f>IF(F194&lt;&gt;"",1+MAX($B$22:B193),"")</f>
        <v/>
      </c>
      <c r="C194" s="112"/>
      <c r="D194" s="44" t="s">
        <v>198</v>
      </c>
      <c r="E194" s="21"/>
      <c r="F194" s="34"/>
      <c r="G194" s="15">
        <v>0</v>
      </c>
      <c r="H194" s="15">
        <f t="shared" si="9"/>
        <v>0</v>
      </c>
      <c r="I194" s="15">
        <v>0</v>
      </c>
      <c r="J194" s="15">
        <f t="shared" si="10"/>
        <v>0</v>
      </c>
      <c r="K194" s="15">
        <f t="shared" si="12"/>
        <v>0</v>
      </c>
      <c r="L194" s="43"/>
      <c r="M194" s="11"/>
    </row>
    <row r="195" spans="2:13" x14ac:dyDescent="0.2">
      <c r="B195" s="42">
        <f>IF(F195&lt;&gt;"",1+MAX($B$22:B194),"")</f>
        <v>97</v>
      </c>
      <c r="C195" s="112"/>
      <c r="D195" s="8" t="s">
        <v>239</v>
      </c>
      <c r="E195" s="21" t="s">
        <v>45</v>
      </c>
      <c r="F195" s="61">
        <f>3*3*3.5*122/27</f>
        <v>142.33333333333334</v>
      </c>
      <c r="G195" s="67">
        <v>0</v>
      </c>
      <c r="H195" s="67">
        <f t="shared" si="9"/>
        <v>0</v>
      </c>
      <c r="I195" s="15">
        <v>36.418436600000007</v>
      </c>
      <c r="J195" s="15">
        <f t="shared" si="10"/>
        <v>5183.5574760666677</v>
      </c>
      <c r="K195" s="15">
        <f t="shared" si="12"/>
        <v>5183.5574760666677</v>
      </c>
      <c r="L195" s="43"/>
      <c r="M195" s="11"/>
    </row>
    <row r="196" spans="2:13" x14ac:dyDescent="0.2">
      <c r="B196" s="42">
        <f>IF(F196&lt;&gt;"",1+MAX($B$22:B195),"")</f>
        <v>98</v>
      </c>
      <c r="C196" s="112"/>
      <c r="D196" s="8" t="s">
        <v>199</v>
      </c>
      <c r="E196" s="21" t="s">
        <v>45</v>
      </c>
      <c r="F196" s="61">
        <f>3*3*3*122/27</f>
        <v>122</v>
      </c>
      <c r="G196" s="15">
        <v>42.576000000000001</v>
      </c>
      <c r="H196" s="15">
        <f t="shared" si="9"/>
        <v>5194.2719999999999</v>
      </c>
      <c r="I196" s="15">
        <v>19.362379400000002</v>
      </c>
      <c r="J196" s="15">
        <f t="shared" si="10"/>
        <v>2362.2102868000002</v>
      </c>
      <c r="K196" s="15">
        <f t="shared" si="12"/>
        <v>7556.4822868000001</v>
      </c>
      <c r="L196" s="43"/>
      <c r="M196" s="11"/>
    </row>
    <row r="197" spans="2:13" x14ac:dyDescent="0.2">
      <c r="B197" s="42">
        <f>IF(F197&lt;&gt;"",1+MAX($B$22:B196),"")</f>
        <v>99</v>
      </c>
      <c r="C197" s="112"/>
      <c r="D197" s="8" t="s">
        <v>200</v>
      </c>
      <c r="E197" s="21" t="s">
        <v>45</v>
      </c>
      <c r="F197" s="61">
        <f>3*3*0.5*122/27</f>
        <v>20.333333333333332</v>
      </c>
      <c r="G197" s="15">
        <v>42.576000000000001</v>
      </c>
      <c r="H197" s="15">
        <f t="shared" si="9"/>
        <v>865.71199999999999</v>
      </c>
      <c r="I197" s="15">
        <v>19.362379400000002</v>
      </c>
      <c r="J197" s="15">
        <f t="shared" si="10"/>
        <v>393.70171446666666</v>
      </c>
      <c r="K197" s="15">
        <f t="shared" si="12"/>
        <v>1259.4137144666665</v>
      </c>
      <c r="L197" s="43"/>
      <c r="M197" s="11"/>
    </row>
    <row r="198" spans="2:13" x14ac:dyDescent="0.2">
      <c r="B198" s="42">
        <f>IF(F198&lt;&gt;"",1+MAX($B$22:B197),"")</f>
        <v>100</v>
      </c>
      <c r="C198" s="112"/>
      <c r="D198" s="8" t="s">
        <v>201</v>
      </c>
      <c r="E198" s="21" t="s">
        <v>45</v>
      </c>
      <c r="F198" s="61">
        <v>142.30000000000001</v>
      </c>
      <c r="G198" s="67">
        <v>0</v>
      </c>
      <c r="H198" s="67">
        <f t="shared" si="9"/>
        <v>0</v>
      </c>
      <c r="I198" s="15">
        <v>9.9225490000000001</v>
      </c>
      <c r="J198" s="15">
        <f t="shared" si="10"/>
        <v>1411.9787227000002</v>
      </c>
      <c r="K198" s="15">
        <f t="shared" si="12"/>
        <v>1411.9787227000002</v>
      </c>
      <c r="L198" s="43"/>
      <c r="M198" s="11"/>
    </row>
    <row r="199" spans="2:13" x14ac:dyDescent="0.2">
      <c r="B199" s="42">
        <f>IF(F199&lt;&gt;"",1+MAX($B$22:B198),"")</f>
        <v>101</v>
      </c>
      <c r="C199" s="112"/>
      <c r="D199" s="8" t="s">
        <v>363</v>
      </c>
      <c r="E199" s="21" t="s">
        <v>364</v>
      </c>
      <c r="F199" s="61">
        <f>F198/60*3</f>
        <v>7.1150000000000011</v>
      </c>
      <c r="G199" s="67">
        <v>0</v>
      </c>
      <c r="H199" s="67">
        <f t="shared" si="9"/>
        <v>0</v>
      </c>
      <c r="I199" s="15">
        <v>130</v>
      </c>
      <c r="J199" s="15">
        <f t="shared" si="10"/>
        <v>924.95000000000016</v>
      </c>
      <c r="K199" s="15">
        <f t="shared" si="12"/>
        <v>924.95000000000016</v>
      </c>
      <c r="L199" s="43"/>
      <c r="M199" s="11"/>
    </row>
    <row r="200" spans="2:13" x14ac:dyDescent="0.2">
      <c r="B200" s="42" t="str">
        <f>IF(F200&lt;&gt;"",1+MAX($B$22:B199),"")</f>
        <v/>
      </c>
      <c r="C200" s="46"/>
      <c r="D200" s="8"/>
      <c r="E200" s="21"/>
      <c r="F200" s="34"/>
      <c r="G200" s="15">
        <v>0</v>
      </c>
      <c r="H200" s="15">
        <f t="shared" si="9"/>
        <v>0</v>
      </c>
      <c r="I200" s="15">
        <v>0</v>
      </c>
      <c r="J200" s="15">
        <f t="shared" si="10"/>
        <v>0</v>
      </c>
      <c r="K200" s="15">
        <f t="shared" si="12"/>
        <v>0</v>
      </c>
      <c r="L200" s="43"/>
      <c r="M200" s="11"/>
    </row>
    <row r="201" spans="2:13" x14ac:dyDescent="0.2">
      <c r="B201" s="57" t="str">
        <f>IF(F201&lt;&gt;"",1+MAX($B$22:B195),"")</f>
        <v/>
      </c>
      <c r="C201" s="58"/>
      <c r="D201" s="59" t="s">
        <v>54</v>
      </c>
      <c r="E201" s="21"/>
      <c r="F201" s="34"/>
      <c r="G201" s="15">
        <v>0</v>
      </c>
      <c r="H201" s="15">
        <f t="shared" ref="H201:H205" si="13">F201*G201</f>
        <v>0</v>
      </c>
      <c r="I201" s="15">
        <v>0</v>
      </c>
      <c r="J201" s="15">
        <f t="shared" ref="J201:J205" si="14">F201*I201</f>
        <v>0</v>
      </c>
      <c r="K201" s="15">
        <f t="shared" ref="K201:K205" si="15">H201+J201</f>
        <v>0</v>
      </c>
      <c r="L201" s="43"/>
    </row>
    <row r="202" spans="2:13" x14ac:dyDescent="0.2">
      <c r="B202" s="42">
        <f>IF(F202&lt;&gt;"",1+MAX($B$22:B201),"")</f>
        <v>102</v>
      </c>
      <c r="C202" s="112" t="s">
        <v>211</v>
      </c>
      <c r="D202" s="8" t="s">
        <v>173</v>
      </c>
      <c r="E202" s="21" t="s">
        <v>47</v>
      </c>
      <c r="F202" s="34">
        <v>1</v>
      </c>
      <c r="G202" s="15">
        <v>1352.675</v>
      </c>
      <c r="H202" s="15">
        <f t="shared" si="13"/>
        <v>1352.675</v>
      </c>
      <c r="I202" s="15">
        <v>375.56462579999999</v>
      </c>
      <c r="J202" s="15">
        <f t="shared" si="14"/>
        <v>375.56462579999999</v>
      </c>
      <c r="K202" s="15">
        <f t="shared" si="15"/>
        <v>1728.2396257999999</v>
      </c>
      <c r="L202" s="43"/>
      <c r="M202" s="11"/>
    </row>
    <row r="203" spans="2:13" ht="25.5" x14ac:dyDescent="0.2">
      <c r="B203" s="42">
        <f>IF(F203&lt;&gt;"",1+MAX($B$22:B202),"")</f>
        <v>103</v>
      </c>
      <c r="C203" s="112"/>
      <c r="D203" s="8" t="s">
        <v>188</v>
      </c>
      <c r="E203" s="21" t="s">
        <v>47</v>
      </c>
      <c r="F203" s="34">
        <v>2</v>
      </c>
      <c r="G203" s="15">
        <v>199.57499999999999</v>
      </c>
      <c r="H203" s="15">
        <f t="shared" si="13"/>
        <v>399.15</v>
      </c>
      <c r="I203" s="15">
        <v>107.27080000000001</v>
      </c>
      <c r="J203" s="15">
        <f t="shared" si="14"/>
        <v>214.54160000000002</v>
      </c>
      <c r="K203" s="15">
        <f t="shared" si="15"/>
        <v>613.69159999999999</v>
      </c>
      <c r="L203" s="43"/>
      <c r="M203" s="11"/>
    </row>
    <row r="204" spans="2:13" x14ac:dyDescent="0.2">
      <c r="B204" s="42">
        <f>IF(F204&lt;&gt;"",1+MAX($B$22:B203),"")</f>
        <v>104</v>
      </c>
      <c r="C204" s="112"/>
      <c r="D204" s="8" t="s">
        <v>126</v>
      </c>
      <c r="E204" s="21" t="s">
        <v>47</v>
      </c>
      <c r="F204" s="34">
        <v>1</v>
      </c>
      <c r="G204" s="15">
        <v>4013.6750000000002</v>
      </c>
      <c r="H204" s="15">
        <f t="shared" si="13"/>
        <v>4013.6750000000002</v>
      </c>
      <c r="I204" s="15">
        <v>440.8243202999999</v>
      </c>
      <c r="J204" s="15">
        <f t="shared" si="14"/>
        <v>440.8243202999999</v>
      </c>
      <c r="K204" s="15">
        <f t="shared" si="15"/>
        <v>4454.4993203000004</v>
      </c>
      <c r="L204" s="43"/>
      <c r="M204" s="11"/>
    </row>
    <row r="205" spans="2:13" x14ac:dyDescent="0.2">
      <c r="B205" s="42" t="str">
        <f>IF(F205&lt;&gt;"",1+MAX($B$22:B204),"")</f>
        <v/>
      </c>
      <c r="C205" s="46"/>
      <c r="D205" s="8"/>
      <c r="E205" s="21"/>
      <c r="F205" s="24"/>
      <c r="G205" s="15">
        <v>0</v>
      </c>
      <c r="H205" s="15">
        <f t="shared" si="13"/>
        <v>0</v>
      </c>
      <c r="I205" s="15">
        <v>0</v>
      </c>
      <c r="J205" s="15">
        <f t="shared" si="14"/>
        <v>0</v>
      </c>
      <c r="K205" s="15">
        <f t="shared" si="15"/>
        <v>0</v>
      </c>
      <c r="L205" s="43"/>
      <c r="M205" s="11"/>
    </row>
    <row r="206" spans="2:13" x14ac:dyDescent="0.2">
      <c r="B206" s="57" t="str">
        <f>IF(F206&lt;&gt;"",1+MAX($B$22:B200),"")</f>
        <v/>
      </c>
      <c r="C206" s="58"/>
      <c r="D206" s="59" t="s">
        <v>411</v>
      </c>
      <c r="E206" s="21"/>
      <c r="F206" s="34"/>
      <c r="G206" s="15">
        <v>0</v>
      </c>
      <c r="H206" s="15">
        <f t="shared" si="9"/>
        <v>0</v>
      </c>
      <c r="I206" s="15">
        <v>0</v>
      </c>
      <c r="J206" s="15">
        <f t="shared" si="10"/>
        <v>0</v>
      </c>
      <c r="K206" s="15">
        <f t="shared" si="12"/>
        <v>0</v>
      </c>
      <c r="L206" s="43"/>
    </row>
    <row r="207" spans="2:13" x14ac:dyDescent="0.2">
      <c r="B207" s="42" t="str">
        <f>IF(F207&lt;&gt;"",1+MAX($B$22:B198),"")</f>
        <v/>
      </c>
      <c r="C207" s="64"/>
      <c r="D207" s="8"/>
      <c r="E207" s="21"/>
      <c r="F207" s="34"/>
      <c r="G207" s="15"/>
      <c r="H207" s="15"/>
      <c r="I207" s="15"/>
      <c r="J207" s="15"/>
      <c r="K207" s="15"/>
      <c r="L207" s="43"/>
      <c r="M207" s="11"/>
    </row>
    <row r="208" spans="2:13" x14ac:dyDescent="0.2">
      <c r="B208" s="42" t="str">
        <f>IF(F208&lt;&gt;"",1+MAX($B$22:B207),"")</f>
        <v/>
      </c>
      <c r="C208" s="64"/>
      <c r="D208" s="44" t="s">
        <v>412</v>
      </c>
      <c r="E208" s="21"/>
      <c r="F208" s="34"/>
      <c r="G208" s="15"/>
      <c r="H208" s="15"/>
      <c r="I208" s="15"/>
      <c r="J208" s="15"/>
      <c r="K208" s="15"/>
      <c r="L208" s="43"/>
      <c r="M208" s="11"/>
    </row>
    <row r="209" spans="2:28" x14ac:dyDescent="0.2">
      <c r="B209" s="42">
        <f>IF(F209&lt;&gt;"",1+MAX($B$22:B208),"")</f>
        <v>105</v>
      </c>
      <c r="C209" s="64"/>
      <c r="D209" s="8" t="s">
        <v>413</v>
      </c>
      <c r="E209" s="21" t="s">
        <v>44</v>
      </c>
      <c r="F209" s="34">
        <v>15682</v>
      </c>
      <c r="G209" s="15">
        <v>1.0200499999999999</v>
      </c>
      <c r="H209" s="15">
        <f t="shared" ref="H209:H211" si="16">F209*G209</f>
        <v>15996.424099999998</v>
      </c>
      <c r="I209" s="15">
        <v>1.3271257999999999</v>
      </c>
      <c r="J209" s="15">
        <f t="shared" ref="J209:J211" si="17">F209*I209</f>
        <v>20811.986795599998</v>
      </c>
      <c r="K209" s="15">
        <f t="shared" ref="K209:K211" si="18">H209+J209</f>
        <v>36808.410895599998</v>
      </c>
      <c r="L209" s="43"/>
      <c r="M209" s="11"/>
    </row>
    <row r="210" spans="2:28" x14ac:dyDescent="0.2">
      <c r="B210" s="42">
        <f>IF(F210&lt;&gt;"",1+MAX($B$22:B209),"")</f>
        <v>106</v>
      </c>
      <c r="C210" s="46"/>
      <c r="D210" s="8" t="s">
        <v>414</v>
      </c>
      <c r="E210" s="21" t="s">
        <v>44</v>
      </c>
      <c r="F210" s="34">
        <f>567*4+167*4+112*4.33+49*4.67</f>
        <v>3649.79</v>
      </c>
      <c r="G210" s="15">
        <v>0.84265000000000001</v>
      </c>
      <c r="H210" s="15">
        <f t="shared" si="16"/>
        <v>3075.4955435000002</v>
      </c>
      <c r="I210" s="15">
        <v>0.66356289999999996</v>
      </c>
      <c r="J210" s="15">
        <f t="shared" si="17"/>
        <v>2421.8652367909999</v>
      </c>
      <c r="K210" s="15">
        <f t="shared" si="18"/>
        <v>5497.3607802910001</v>
      </c>
      <c r="L210" s="43"/>
      <c r="M210" s="11"/>
    </row>
    <row r="211" spans="2:28" x14ac:dyDescent="0.2">
      <c r="B211" s="42">
        <f>IF(F211&lt;&gt;"",1+MAX($B$22:B210),"")</f>
        <v>107</v>
      </c>
      <c r="C211" s="64"/>
      <c r="D211" s="8" t="s">
        <v>415</v>
      </c>
      <c r="E211" s="21" t="s">
        <v>45</v>
      </c>
      <c r="F211" s="61">
        <f>1112*4.5/27</f>
        <v>185.33333333333334</v>
      </c>
      <c r="G211" s="15">
        <v>42.576000000000001</v>
      </c>
      <c r="H211" s="15">
        <f t="shared" si="16"/>
        <v>7890.7520000000004</v>
      </c>
      <c r="I211" s="15">
        <v>19.362379400000002</v>
      </c>
      <c r="J211" s="15">
        <f t="shared" si="17"/>
        <v>3588.4943154666671</v>
      </c>
      <c r="K211" s="15">
        <f t="shared" si="18"/>
        <v>11479.246315466668</v>
      </c>
      <c r="L211" s="43"/>
      <c r="M211" s="11"/>
    </row>
    <row r="212" spans="2:28" x14ac:dyDescent="0.2">
      <c r="B212" s="42" t="str">
        <f>IF(F212&lt;&gt;"",1+MAX($B$22:B211),"")</f>
        <v/>
      </c>
      <c r="C212" s="64"/>
      <c r="D212" s="8"/>
      <c r="E212" s="21"/>
      <c r="F212" s="34"/>
      <c r="G212" s="15"/>
      <c r="H212" s="15"/>
      <c r="I212" s="15"/>
      <c r="J212" s="15"/>
      <c r="K212" s="15"/>
      <c r="L212" s="43"/>
      <c r="M212" s="11"/>
    </row>
    <row r="213" spans="2:28" x14ac:dyDescent="0.2">
      <c r="B213" s="42" t="str">
        <f>IF(F213&lt;&gt;"",1+MAX($B$22:B212),"")</f>
        <v/>
      </c>
      <c r="C213" s="64"/>
      <c r="D213" s="44" t="s">
        <v>58</v>
      </c>
      <c r="E213" s="21"/>
      <c r="F213" s="34"/>
      <c r="G213" s="15"/>
      <c r="H213" s="15"/>
      <c r="I213" s="15"/>
      <c r="J213" s="15"/>
      <c r="K213" s="15"/>
      <c r="L213" s="43"/>
      <c r="M213" s="11"/>
    </row>
    <row r="214" spans="2:28" x14ac:dyDescent="0.2">
      <c r="B214" s="42">
        <f>IF(F214&lt;&gt;"",1+MAX($B$22:B213),"")</f>
        <v>108</v>
      </c>
      <c r="C214" s="46"/>
      <c r="D214" s="8" t="s">
        <v>239</v>
      </c>
      <c r="E214" s="21" t="s">
        <v>45</v>
      </c>
      <c r="F214" s="24">
        <f>567*4*4.5/27+167*4*1+112*4.33*4.5+49*4.67*4.5+24.4</f>
        <v>4282.4549999999999</v>
      </c>
      <c r="G214" s="67">
        <v>0</v>
      </c>
      <c r="H214" s="67">
        <f t="shared" ref="H214:H217" si="19">F214*G214</f>
        <v>0</v>
      </c>
      <c r="I214" s="15">
        <v>36.418436600000007</v>
      </c>
      <c r="J214" s="15">
        <f t="shared" ref="J214:J217" si="20">F214*I214</f>
        <v>155960.31590985303</v>
      </c>
      <c r="K214" s="15">
        <f t="shared" ref="K214:K217" si="21">H214+J214</f>
        <v>155960.31590985303</v>
      </c>
      <c r="L214" s="43"/>
      <c r="M214" s="11"/>
    </row>
    <row r="215" spans="2:28" x14ac:dyDescent="0.2">
      <c r="B215" s="42">
        <f>IF(F215&lt;&gt;"",1+MAX($B$22:B214),"")</f>
        <v>109</v>
      </c>
      <c r="C215" s="64"/>
      <c r="D215" s="8" t="s">
        <v>416</v>
      </c>
      <c r="E215" s="21" t="s">
        <v>45</v>
      </c>
      <c r="F215" s="34">
        <f>4282.46-106.3</f>
        <v>4176.16</v>
      </c>
      <c r="G215" s="15">
        <v>25.25</v>
      </c>
      <c r="H215" s="15">
        <f t="shared" si="19"/>
        <v>105448.04</v>
      </c>
      <c r="I215" s="15">
        <v>19.362379400000002</v>
      </c>
      <c r="J215" s="15">
        <f t="shared" si="20"/>
        <v>80860.394355103999</v>
      </c>
      <c r="K215" s="15">
        <f t="shared" si="21"/>
        <v>186308.43435510399</v>
      </c>
      <c r="L215" s="43"/>
      <c r="M215" s="11"/>
    </row>
    <row r="216" spans="2:28" x14ac:dyDescent="0.2">
      <c r="B216" s="42">
        <f>IF(F216&lt;&gt;"",1+MAX($B$22:B215),"")</f>
        <v>110</v>
      </c>
      <c r="C216" s="64"/>
      <c r="D216" s="8" t="s">
        <v>201</v>
      </c>
      <c r="E216" s="21" t="s">
        <v>45</v>
      </c>
      <c r="F216" s="24">
        <f>567*4*4.5/27+167*4*1+112*4.33*4.5+49*4.67*4.5+24.4</f>
        <v>4282.4549999999999</v>
      </c>
      <c r="G216" s="67">
        <v>0</v>
      </c>
      <c r="H216" s="67">
        <f t="shared" si="19"/>
        <v>0</v>
      </c>
      <c r="I216" s="15">
        <v>9.9225490000000001</v>
      </c>
      <c r="J216" s="15">
        <f t="shared" si="20"/>
        <v>42492.869577794998</v>
      </c>
      <c r="K216" s="15">
        <f t="shared" si="21"/>
        <v>42492.869577794998</v>
      </c>
      <c r="L216" s="43"/>
      <c r="M216" s="11"/>
    </row>
    <row r="217" spans="2:28" x14ac:dyDescent="0.2">
      <c r="B217" s="42">
        <f>IF(F217&lt;&gt;"",1+MAX($B$22:B216),"")</f>
        <v>111</v>
      </c>
      <c r="C217" s="64"/>
      <c r="D217" s="8" t="s">
        <v>363</v>
      </c>
      <c r="E217" s="21" t="s">
        <v>364</v>
      </c>
      <c r="F217" s="61">
        <f>F216/60*3</f>
        <v>214.12275</v>
      </c>
      <c r="G217" s="67">
        <v>0</v>
      </c>
      <c r="H217" s="67">
        <f t="shared" si="19"/>
        <v>0</v>
      </c>
      <c r="I217" s="15">
        <v>130</v>
      </c>
      <c r="J217" s="15">
        <f t="shared" si="20"/>
        <v>27835.9575</v>
      </c>
      <c r="K217" s="15">
        <f t="shared" si="21"/>
        <v>27835.9575</v>
      </c>
      <c r="L217" s="43"/>
      <c r="M217" s="11"/>
    </row>
    <row r="218" spans="2:28" x14ac:dyDescent="0.2">
      <c r="B218" s="42" t="str">
        <f>IF(F218&lt;&gt;"",1+MAX($B$22:B217),"")</f>
        <v/>
      </c>
      <c r="C218" s="46"/>
      <c r="D218" s="8"/>
      <c r="E218" s="21"/>
      <c r="F218" s="24"/>
      <c r="G218" s="15">
        <v>0</v>
      </c>
      <c r="H218" s="15">
        <f t="shared" si="9"/>
        <v>0</v>
      </c>
      <c r="I218" s="15">
        <v>0</v>
      </c>
      <c r="J218" s="15">
        <f t="shared" si="10"/>
        <v>0</v>
      </c>
      <c r="K218" s="15">
        <f t="shared" si="12"/>
        <v>0</v>
      </c>
      <c r="L218" s="43"/>
      <c r="M218" s="11"/>
    </row>
    <row r="219" spans="2:28" s="11" customFormat="1" ht="12.75" customHeight="1" x14ac:dyDescent="0.2">
      <c r="B219" s="12" t="str">
        <f>IF(F219&lt;&gt;"",1+MAX($B$22:B218),"")</f>
        <v/>
      </c>
      <c r="C219" s="12" t="s">
        <v>319</v>
      </c>
      <c r="D219" s="6" t="s">
        <v>320</v>
      </c>
      <c r="E219" s="113" t="s">
        <v>34</v>
      </c>
      <c r="F219" s="113"/>
      <c r="G219" s="45">
        <f>SUM(H220:H286)</f>
        <v>426674.20698056667</v>
      </c>
      <c r="H219" s="7">
        <f t="shared" si="9"/>
        <v>0</v>
      </c>
      <c r="I219" s="45">
        <f>SUM(J220:J286)</f>
        <v>730495.17213705555</v>
      </c>
      <c r="J219" s="7">
        <f t="shared" si="10"/>
        <v>0</v>
      </c>
      <c r="K219" s="45">
        <f>SUM(K220:K286)</f>
        <v>1157169.3791176225</v>
      </c>
      <c r="L219" s="41">
        <f>(K219)+(G219*$K$8)+(I219*$K$9)+(K219*$K$10)+($K$11*((K219)+(G219*$K$8)+(I219*$K$9)+(K219*$K$10)))+(K219*$K$12)</f>
        <v>1634960.4155838406</v>
      </c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</row>
    <row r="220" spans="2:28" x14ac:dyDescent="0.2">
      <c r="B220" s="42" t="str">
        <f>IF(F220&lt;&gt;"",1+MAX($B$22:B219),"")</f>
        <v/>
      </c>
      <c r="C220" s="46"/>
      <c r="D220" s="8"/>
      <c r="E220" s="21"/>
      <c r="F220" s="34"/>
      <c r="G220" s="15">
        <v>0</v>
      </c>
      <c r="H220" s="15">
        <f t="shared" si="9"/>
        <v>0</v>
      </c>
      <c r="I220" s="15">
        <v>0</v>
      </c>
      <c r="J220" s="15">
        <f t="shared" si="10"/>
        <v>0</v>
      </c>
      <c r="K220" s="15">
        <f t="shared" ref="K220:K262" si="22">H220+J220</f>
        <v>0</v>
      </c>
      <c r="L220" s="43"/>
      <c r="M220" s="11"/>
    </row>
    <row r="221" spans="2:28" x14ac:dyDescent="0.2">
      <c r="B221" s="57" t="str">
        <f>IF(F221&lt;&gt;"",1+MAX($B$22:B213),"")</f>
        <v/>
      </c>
      <c r="C221" s="58"/>
      <c r="D221" s="59" t="s">
        <v>452</v>
      </c>
      <c r="E221" s="21"/>
      <c r="F221" s="34"/>
      <c r="G221" s="15">
        <v>0</v>
      </c>
      <c r="H221" s="15">
        <f t="shared" ref="H221:H234" si="23">F221*G221</f>
        <v>0</v>
      </c>
      <c r="I221" s="15">
        <v>0</v>
      </c>
      <c r="J221" s="15">
        <f t="shared" ref="J221:J234" si="24">F221*I221</f>
        <v>0</v>
      </c>
      <c r="K221" s="15">
        <f t="shared" ref="K221:K234" si="25">H221+J221</f>
        <v>0</v>
      </c>
      <c r="L221" s="43"/>
    </row>
    <row r="222" spans="2:28" x14ac:dyDescent="0.2">
      <c r="B222" s="75">
        <f>IF(F222&lt;&gt;"",1+MAX($B$22:B221),"")</f>
        <v>112</v>
      </c>
      <c r="C222" s="112" t="s">
        <v>323</v>
      </c>
      <c r="D222" s="8" t="s">
        <v>48</v>
      </c>
      <c r="E222" s="21" t="s">
        <v>45</v>
      </c>
      <c r="F222" s="61">
        <f>5455*1.5*2.5/27</f>
        <v>757.63888888888891</v>
      </c>
      <c r="G222" s="67">
        <v>0</v>
      </c>
      <c r="H222" s="67">
        <f t="shared" si="23"/>
        <v>0</v>
      </c>
      <c r="I222" s="15">
        <v>36.418436600000007</v>
      </c>
      <c r="J222" s="15">
        <f t="shared" si="24"/>
        <v>27592.023840694452</v>
      </c>
      <c r="K222" s="15">
        <f t="shared" si="25"/>
        <v>27592.023840694452</v>
      </c>
      <c r="L222" s="43"/>
      <c r="M222" s="11"/>
    </row>
    <row r="223" spans="2:28" x14ac:dyDescent="0.2">
      <c r="B223" s="75">
        <f>IF(F223&lt;&gt;"",1+MAX($B$22:B222),"")</f>
        <v>113</v>
      </c>
      <c r="C223" s="112"/>
      <c r="D223" s="8" t="s">
        <v>321</v>
      </c>
      <c r="E223" s="21" t="s">
        <v>45</v>
      </c>
      <c r="F223" s="61">
        <f>5455*1.5*1.33/27</f>
        <v>403.06388888888893</v>
      </c>
      <c r="G223" s="15">
        <v>164.095</v>
      </c>
      <c r="H223" s="15">
        <f t="shared" si="23"/>
        <v>66140.768847222222</v>
      </c>
      <c r="I223" s="15">
        <v>228.75498099999999</v>
      </c>
      <c r="J223" s="15">
        <f t="shared" si="24"/>
        <v>92202.872244563885</v>
      </c>
      <c r="K223" s="15">
        <f t="shared" si="25"/>
        <v>158343.64109178609</v>
      </c>
      <c r="L223" s="43"/>
    </row>
    <row r="224" spans="2:28" x14ac:dyDescent="0.2">
      <c r="B224" s="75">
        <f>IF(F224&lt;&gt;"",1+MAX($B$22:B223),"")</f>
        <v>114</v>
      </c>
      <c r="C224" s="112"/>
      <c r="D224" s="8" t="s">
        <v>322</v>
      </c>
      <c r="E224" s="21" t="s">
        <v>45</v>
      </c>
      <c r="F224" s="61">
        <f>5455*1.5*1.17/27</f>
        <v>354.57499999999999</v>
      </c>
      <c r="G224" s="15">
        <v>42.576000000000001</v>
      </c>
      <c r="H224" s="15">
        <f t="shared" si="23"/>
        <v>15096.385199999999</v>
      </c>
      <c r="I224" s="15">
        <v>19.362379400000002</v>
      </c>
      <c r="J224" s="15">
        <f t="shared" si="24"/>
        <v>6865.4156757550008</v>
      </c>
      <c r="K224" s="15">
        <f t="shared" si="25"/>
        <v>21961.800875754998</v>
      </c>
      <c r="L224" s="43"/>
    </row>
    <row r="225" spans="2:13" x14ac:dyDescent="0.2">
      <c r="B225" s="75">
        <f>IF(F225&lt;&gt;"",1+MAX($B$22:B224),"")</f>
        <v>115</v>
      </c>
      <c r="C225" s="112"/>
      <c r="D225" s="8" t="s">
        <v>59</v>
      </c>
      <c r="E225" s="21" t="s">
        <v>45</v>
      </c>
      <c r="F225" s="61">
        <f>F222-F224</f>
        <v>403.06388888888893</v>
      </c>
      <c r="G225" s="67">
        <v>0</v>
      </c>
      <c r="H225" s="67">
        <f t="shared" si="23"/>
        <v>0</v>
      </c>
      <c r="I225" s="15">
        <v>9.9225490000000001</v>
      </c>
      <c r="J225" s="15">
        <f t="shared" si="24"/>
        <v>3999.4211876305558</v>
      </c>
      <c r="K225" s="15">
        <f t="shared" si="25"/>
        <v>3999.4211876305558</v>
      </c>
      <c r="L225" s="43"/>
      <c r="M225" s="11"/>
    </row>
    <row r="226" spans="2:13" x14ac:dyDescent="0.2">
      <c r="B226" s="75">
        <f>IF(F226&lt;&gt;"",1+MAX($B$22:B225),"")</f>
        <v>116</v>
      </c>
      <c r="C226" s="112"/>
      <c r="D226" s="8" t="s">
        <v>363</v>
      </c>
      <c r="E226" s="21" t="s">
        <v>364</v>
      </c>
      <c r="F226" s="61">
        <f>F225/60*3</f>
        <v>20.153194444444445</v>
      </c>
      <c r="G226" s="67">
        <v>0</v>
      </c>
      <c r="H226" s="67">
        <f t="shared" si="23"/>
        <v>0</v>
      </c>
      <c r="I226" s="15">
        <v>130</v>
      </c>
      <c r="J226" s="15">
        <f t="shared" si="24"/>
        <v>2619.9152777777776</v>
      </c>
      <c r="K226" s="15">
        <f t="shared" si="25"/>
        <v>2619.9152777777776</v>
      </c>
      <c r="L226" s="43"/>
      <c r="M226" s="11"/>
    </row>
    <row r="227" spans="2:13" x14ac:dyDescent="0.2">
      <c r="B227" s="42" t="str">
        <f>IF(F227&lt;&gt;"",1+MAX($B$22:B226),"")</f>
        <v/>
      </c>
      <c r="C227" s="46"/>
      <c r="D227" s="8"/>
      <c r="E227" s="21"/>
      <c r="F227" s="34"/>
      <c r="G227" s="15">
        <v>0</v>
      </c>
      <c r="H227" s="15">
        <f t="shared" si="23"/>
        <v>0</v>
      </c>
      <c r="I227" s="15">
        <v>0</v>
      </c>
      <c r="J227" s="15">
        <f t="shared" si="24"/>
        <v>0</v>
      </c>
      <c r="K227" s="15">
        <f t="shared" si="25"/>
        <v>0</v>
      </c>
      <c r="L227" s="43"/>
    </row>
    <row r="228" spans="2:13" x14ac:dyDescent="0.2">
      <c r="B228" s="57" t="str">
        <f>IF(F228&lt;&gt;"",1+MAX($B$22:B213),"")</f>
        <v/>
      </c>
      <c r="C228" s="58"/>
      <c r="D228" s="59" t="s">
        <v>453</v>
      </c>
      <c r="E228" s="21"/>
      <c r="F228" s="34"/>
      <c r="G228" s="15">
        <v>0</v>
      </c>
      <c r="H228" s="15">
        <f t="shared" si="23"/>
        <v>0</v>
      </c>
      <c r="I228" s="15">
        <v>0</v>
      </c>
      <c r="J228" s="15">
        <f t="shared" si="24"/>
        <v>0</v>
      </c>
      <c r="K228" s="15">
        <f t="shared" si="25"/>
        <v>0</v>
      </c>
      <c r="L228" s="43"/>
    </row>
    <row r="229" spans="2:13" x14ac:dyDescent="0.2">
      <c r="B229" s="71">
        <f>IF(F229&lt;&gt;"",1+MAX($B$22:B228),"")</f>
        <v>117</v>
      </c>
      <c r="C229" s="112" t="s">
        <v>323</v>
      </c>
      <c r="D229" s="8" t="s">
        <v>48</v>
      </c>
      <c r="E229" s="21" t="s">
        <v>45</v>
      </c>
      <c r="F229" s="61">
        <f>339*1.5*2.5/27</f>
        <v>47.083333333333336</v>
      </c>
      <c r="G229" s="67">
        <v>0</v>
      </c>
      <c r="H229" s="67">
        <f t="shared" si="23"/>
        <v>0</v>
      </c>
      <c r="I229" s="15">
        <v>36.418436600000007</v>
      </c>
      <c r="J229" s="15">
        <f t="shared" si="24"/>
        <v>1714.701389916667</v>
      </c>
      <c r="K229" s="15">
        <f t="shared" si="25"/>
        <v>1714.701389916667</v>
      </c>
      <c r="L229" s="43"/>
      <c r="M229" s="11"/>
    </row>
    <row r="230" spans="2:13" x14ac:dyDescent="0.2">
      <c r="B230" s="71">
        <f>IF(F230&lt;&gt;"",1+MAX($B$22:B229),"")</f>
        <v>118</v>
      </c>
      <c r="C230" s="112"/>
      <c r="D230" s="8" t="s">
        <v>321</v>
      </c>
      <c r="E230" s="21" t="s">
        <v>45</v>
      </c>
      <c r="F230" s="61">
        <f>339*1.5*1.33/27</f>
        <v>25.048333333333336</v>
      </c>
      <c r="G230" s="15">
        <v>164.095</v>
      </c>
      <c r="H230" s="15">
        <f t="shared" si="23"/>
        <v>4110.306258333334</v>
      </c>
      <c r="I230" s="15">
        <v>228.75498099999999</v>
      </c>
      <c r="J230" s="15">
        <f t="shared" si="24"/>
        <v>5729.9310157483333</v>
      </c>
      <c r="K230" s="15">
        <f t="shared" si="25"/>
        <v>9840.2372740816681</v>
      </c>
      <c r="L230" s="43"/>
    </row>
    <row r="231" spans="2:13" x14ac:dyDescent="0.2">
      <c r="B231" s="71">
        <f>IF(F231&lt;&gt;"",1+MAX($B$22:B230),"")</f>
        <v>119</v>
      </c>
      <c r="C231" s="112"/>
      <c r="D231" s="8" t="s">
        <v>322</v>
      </c>
      <c r="E231" s="21" t="s">
        <v>45</v>
      </c>
      <c r="F231" s="61">
        <f>339*1.5*1.17/27</f>
        <v>22.034999999999997</v>
      </c>
      <c r="G231" s="15">
        <v>42.576000000000001</v>
      </c>
      <c r="H231" s="15">
        <f t="shared" si="23"/>
        <v>938.16215999999986</v>
      </c>
      <c r="I231" s="15">
        <v>19.362379400000002</v>
      </c>
      <c r="J231" s="15">
        <f t="shared" si="24"/>
        <v>426.65003007899998</v>
      </c>
      <c r="K231" s="15">
        <f t="shared" si="25"/>
        <v>1364.8121900789997</v>
      </c>
      <c r="L231" s="43"/>
    </row>
    <row r="232" spans="2:13" x14ac:dyDescent="0.2">
      <c r="B232" s="71">
        <f>IF(F232&lt;&gt;"",1+MAX($B$22:B231),"")</f>
        <v>120</v>
      </c>
      <c r="C232" s="112"/>
      <c r="D232" s="8" t="s">
        <v>59</v>
      </c>
      <c r="E232" s="21" t="s">
        <v>45</v>
      </c>
      <c r="F232" s="61">
        <f>F229-F231</f>
        <v>25.048333333333339</v>
      </c>
      <c r="G232" s="67">
        <v>0</v>
      </c>
      <c r="H232" s="67">
        <f t="shared" si="23"/>
        <v>0</v>
      </c>
      <c r="I232" s="15">
        <v>9.9225490000000001</v>
      </c>
      <c r="J232" s="15">
        <f t="shared" si="24"/>
        <v>248.5433148683334</v>
      </c>
      <c r="K232" s="15">
        <f t="shared" si="25"/>
        <v>248.5433148683334</v>
      </c>
      <c r="L232" s="43"/>
      <c r="M232" s="11"/>
    </row>
    <row r="233" spans="2:13" x14ac:dyDescent="0.2">
      <c r="B233" s="71">
        <f>IF(F233&lt;&gt;"",1+MAX($B$22:B232),"")</f>
        <v>121</v>
      </c>
      <c r="C233" s="112"/>
      <c r="D233" s="8" t="s">
        <v>363</v>
      </c>
      <c r="E233" s="21" t="s">
        <v>364</v>
      </c>
      <c r="F233" s="61">
        <f>F232/60*3</f>
        <v>1.252416666666667</v>
      </c>
      <c r="G233" s="67">
        <v>0</v>
      </c>
      <c r="H233" s="67">
        <f t="shared" si="23"/>
        <v>0</v>
      </c>
      <c r="I233" s="15">
        <v>130</v>
      </c>
      <c r="J233" s="15">
        <f t="shared" si="24"/>
        <v>162.81416666666669</v>
      </c>
      <c r="K233" s="15">
        <f t="shared" si="25"/>
        <v>162.81416666666669</v>
      </c>
      <c r="L233" s="43"/>
      <c r="M233" s="11"/>
    </row>
    <row r="234" spans="2:13" x14ac:dyDescent="0.2">
      <c r="B234" s="42" t="str">
        <f>IF(F234&lt;&gt;"",1+MAX($B$22:B233),"")</f>
        <v/>
      </c>
      <c r="C234" s="46"/>
      <c r="D234" s="8"/>
      <c r="E234" s="21"/>
      <c r="F234" s="34"/>
      <c r="G234" s="15">
        <v>0</v>
      </c>
      <c r="H234" s="15">
        <f t="shared" si="23"/>
        <v>0</v>
      </c>
      <c r="I234" s="15">
        <v>0</v>
      </c>
      <c r="J234" s="15">
        <f t="shared" si="24"/>
        <v>0</v>
      </c>
      <c r="K234" s="15">
        <f t="shared" si="25"/>
        <v>0</v>
      </c>
      <c r="L234" s="43"/>
    </row>
    <row r="235" spans="2:13" x14ac:dyDescent="0.2">
      <c r="B235" s="57" t="str">
        <f>IF(F235&lt;&gt;"",1+MAX($B$22:B220),"")</f>
        <v/>
      </c>
      <c r="C235" s="58"/>
      <c r="D235" s="59" t="s">
        <v>454</v>
      </c>
      <c r="E235" s="21"/>
      <c r="F235" s="34"/>
      <c r="G235" s="15">
        <v>0</v>
      </c>
      <c r="H235" s="15">
        <f t="shared" si="9"/>
        <v>0</v>
      </c>
      <c r="I235" s="15">
        <v>0</v>
      </c>
      <c r="J235" s="15">
        <f t="shared" si="10"/>
        <v>0</v>
      </c>
      <c r="K235" s="15">
        <f t="shared" si="22"/>
        <v>0</v>
      </c>
      <c r="L235" s="43"/>
    </row>
    <row r="236" spans="2:13" x14ac:dyDescent="0.2">
      <c r="B236" s="71">
        <f>IF(F236&lt;&gt;"",1+MAX($B$22:B235),"")</f>
        <v>122</v>
      </c>
      <c r="C236" s="112" t="s">
        <v>323</v>
      </c>
      <c r="D236" s="8" t="s">
        <v>48</v>
      </c>
      <c r="E236" s="21" t="s">
        <v>45</v>
      </c>
      <c r="F236" s="61">
        <f>752*1.5*2.5/27</f>
        <v>104.44444444444444</v>
      </c>
      <c r="G236" s="67">
        <v>0</v>
      </c>
      <c r="H236" s="67">
        <f t="shared" si="9"/>
        <v>0</v>
      </c>
      <c r="I236" s="15">
        <v>36.418436600000007</v>
      </c>
      <c r="J236" s="15">
        <f t="shared" si="10"/>
        <v>3803.7033782222229</v>
      </c>
      <c r="K236" s="15">
        <f t="shared" si="22"/>
        <v>3803.7033782222229</v>
      </c>
      <c r="L236" s="43"/>
      <c r="M236" s="11"/>
    </row>
    <row r="237" spans="2:13" x14ac:dyDescent="0.2">
      <c r="B237" s="71">
        <f>IF(F237&lt;&gt;"",1+MAX($B$22:B236),"")</f>
        <v>123</v>
      </c>
      <c r="C237" s="112"/>
      <c r="D237" s="8" t="s">
        <v>321</v>
      </c>
      <c r="E237" s="21" t="s">
        <v>45</v>
      </c>
      <c r="F237" s="61">
        <f>752*1.5*1.33/27</f>
        <v>55.564444444444447</v>
      </c>
      <c r="G237" s="15">
        <v>164.095</v>
      </c>
      <c r="H237" s="15">
        <f t="shared" si="9"/>
        <v>9117.8475111111111</v>
      </c>
      <c r="I237" s="15">
        <v>228.75498099999999</v>
      </c>
      <c r="J237" s="15">
        <f t="shared" si="10"/>
        <v>12710.643433164445</v>
      </c>
      <c r="K237" s="15">
        <f t="shared" si="22"/>
        <v>21828.490944275556</v>
      </c>
      <c r="L237" s="43"/>
    </row>
    <row r="238" spans="2:13" x14ac:dyDescent="0.2">
      <c r="B238" s="71">
        <f>IF(F238&lt;&gt;"",1+MAX($B$22:B237),"")</f>
        <v>124</v>
      </c>
      <c r="C238" s="112"/>
      <c r="D238" s="8" t="s">
        <v>322</v>
      </c>
      <c r="E238" s="21" t="s">
        <v>45</v>
      </c>
      <c r="F238" s="61">
        <f>752*1.5*1.17/27</f>
        <v>48.88</v>
      </c>
      <c r="G238" s="15">
        <v>42.576000000000001</v>
      </c>
      <c r="H238" s="15">
        <f t="shared" si="9"/>
        <v>2081.1148800000001</v>
      </c>
      <c r="I238" s="15">
        <v>19.362379400000002</v>
      </c>
      <c r="J238" s="15">
        <f t="shared" si="10"/>
        <v>946.4331050720001</v>
      </c>
      <c r="K238" s="15">
        <f t="shared" si="22"/>
        <v>3027.5479850720003</v>
      </c>
      <c r="L238" s="43"/>
    </row>
    <row r="239" spans="2:13" x14ac:dyDescent="0.2">
      <c r="B239" s="71">
        <f>IF(F239&lt;&gt;"",1+MAX($B$22:B238),"")</f>
        <v>125</v>
      </c>
      <c r="C239" s="112"/>
      <c r="D239" s="8" t="s">
        <v>59</v>
      </c>
      <c r="E239" s="21" t="s">
        <v>45</v>
      </c>
      <c r="F239" s="61">
        <f>F236-F238</f>
        <v>55.56444444444444</v>
      </c>
      <c r="G239" s="67">
        <v>0</v>
      </c>
      <c r="H239" s="67">
        <f t="shared" si="9"/>
        <v>0</v>
      </c>
      <c r="I239" s="15">
        <v>9.9225490000000001</v>
      </c>
      <c r="J239" s="15">
        <f t="shared" si="10"/>
        <v>551.3409226577777</v>
      </c>
      <c r="K239" s="15">
        <f t="shared" si="22"/>
        <v>551.3409226577777</v>
      </c>
      <c r="L239" s="43"/>
      <c r="M239" s="11"/>
    </row>
    <row r="240" spans="2:13" x14ac:dyDescent="0.2">
      <c r="B240" s="71">
        <f>IF(F240&lt;&gt;"",1+MAX($B$22:B239),"")</f>
        <v>126</v>
      </c>
      <c r="C240" s="112"/>
      <c r="D240" s="8" t="s">
        <v>363</v>
      </c>
      <c r="E240" s="21" t="s">
        <v>364</v>
      </c>
      <c r="F240" s="61">
        <f>F239/60*3</f>
        <v>2.7782222222222224</v>
      </c>
      <c r="G240" s="67">
        <v>0</v>
      </c>
      <c r="H240" s="67">
        <f t="shared" ref="H240:H286" si="26">F240*G240</f>
        <v>0</v>
      </c>
      <c r="I240" s="15">
        <v>130</v>
      </c>
      <c r="J240" s="15">
        <f t="shared" ref="J240:J286" si="27">F240*I240</f>
        <v>361.16888888888889</v>
      </c>
      <c r="K240" s="15">
        <f t="shared" si="22"/>
        <v>361.16888888888889</v>
      </c>
      <c r="L240" s="43"/>
      <c r="M240" s="11"/>
    </row>
    <row r="241" spans="2:13" x14ac:dyDescent="0.2">
      <c r="B241" s="42" t="str">
        <f>IF(F241&lt;&gt;"",1+MAX($B$22:B240),"")</f>
        <v/>
      </c>
      <c r="C241" s="46"/>
      <c r="D241" s="8"/>
      <c r="E241" s="21"/>
      <c r="F241" s="34"/>
      <c r="G241" s="15">
        <v>0</v>
      </c>
      <c r="H241" s="15">
        <f t="shared" si="26"/>
        <v>0</v>
      </c>
      <c r="I241" s="15">
        <v>0</v>
      </c>
      <c r="J241" s="15">
        <f t="shared" si="27"/>
        <v>0</v>
      </c>
      <c r="K241" s="15">
        <f t="shared" si="22"/>
        <v>0</v>
      </c>
      <c r="L241" s="43"/>
    </row>
    <row r="242" spans="2:13" x14ac:dyDescent="0.2">
      <c r="B242" s="57" t="str">
        <f>IF(F242&lt;&gt;"",1+MAX($B$22:B241),"")</f>
        <v/>
      </c>
      <c r="C242" s="58"/>
      <c r="D242" s="59" t="s">
        <v>324</v>
      </c>
      <c r="E242" s="21"/>
      <c r="F242" s="34"/>
      <c r="G242" s="15">
        <v>0</v>
      </c>
      <c r="H242" s="15">
        <f t="shared" si="26"/>
        <v>0</v>
      </c>
      <c r="I242" s="15">
        <v>0</v>
      </c>
      <c r="J242" s="15">
        <f t="shared" si="27"/>
        <v>0</v>
      </c>
      <c r="K242" s="15">
        <f t="shared" si="22"/>
        <v>0</v>
      </c>
      <c r="L242" s="43"/>
    </row>
    <row r="243" spans="2:13" x14ac:dyDescent="0.2">
      <c r="B243" s="42">
        <f>IF(F243&lt;&gt;"",1+MAX($B$22:B242),"")</f>
        <v>127</v>
      </c>
      <c r="C243" s="112" t="s">
        <v>325</v>
      </c>
      <c r="D243" s="8" t="s">
        <v>326</v>
      </c>
      <c r="E243" s="21" t="s">
        <v>46</v>
      </c>
      <c r="F243" s="34">
        <v>246.29</v>
      </c>
      <c r="G243" s="15">
        <v>37.697499999999998</v>
      </c>
      <c r="H243" s="15">
        <f t="shared" si="26"/>
        <v>9284.5172749999983</v>
      </c>
      <c r="I243" s="15">
        <v>16.049852000000001</v>
      </c>
      <c r="J243" s="15">
        <f t="shared" si="27"/>
        <v>3952.9180490800004</v>
      </c>
      <c r="K243" s="15">
        <f t="shared" si="22"/>
        <v>13237.435324079999</v>
      </c>
      <c r="L243" s="43"/>
    </row>
    <row r="244" spans="2:13" x14ac:dyDescent="0.2">
      <c r="B244" s="42">
        <f>IF(F244&lt;&gt;"",1+MAX($B$22:B243),"")</f>
        <v>128</v>
      </c>
      <c r="C244" s="112"/>
      <c r="D244" s="8" t="s">
        <v>327</v>
      </c>
      <c r="E244" s="21" t="s">
        <v>46</v>
      </c>
      <c r="F244" s="34">
        <v>255.08</v>
      </c>
      <c r="G244" s="15">
        <v>45.237000000000002</v>
      </c>
      <c r="H244" s="15">
        <f t="shared" si="26"/>
        <v>11539.053960000001</v>
      </c>
      <c r="I244" s="15">
        <v>20.062315000000002</v>
      </c>
      <c r="J244" s="15">
        <f t="shared" si="27"/>
        <v>5117.4953102000009</v>
      </c>
      <c r="K244" s="15">
        <f t="shared" si="22"/>
        <v>16656.549270200001</v>
      </c>
      <c r="L244" s="43"/>
    </row>
    <row r="245" spans="2:13" x14ac:dyDescent="0.2">
      <c r="B245" s="42">
        <f>IF(F245&lt;&gt;"",1+MAX($B$22:B244),"")</f>
        <v>129</v>
      </c>
      <c r="C245" s="112"/>
      <c r="D245" s="8" t="s">
        <v>328</v>
      </c>
      <c r="E245" s="21" t="s">
        <v>46</v>
      </c>
      <c r="F245" s="34">
        <v>2347.9499999999998</v>
      </c>
      <c r="G245" s="15">
        <v>47.454500000000003</v>
      </c>
      <c r="H245" s="15">
        <f t="shared" si="26"/>
        <v>111420.793275</v>
      </c>
      <c r="I245" s="15">
        <v>24.074778000000002</v>
      </c>
      <c r="J245" s="15">
        <f t="shared" si="27"/>
        <v>56526.375005100002</v>
      </c>
      <c r="K245" s="15">
        <f t="shared" si="22"/>
        <v>167947.16828010001</v>
      </c>
      <c r="L245" s="43"/>
    </row>
    <row r="246" spans="2:13" x14ac:dyDescent="0.2">
      <c r="B246" s="42">
        <f>IF(F246&lt;&gt;"",1+MAX($B$22:B245),"")</f>
        <v>130</v>
      </c>
      <c r="C246" s="112"/>
      <c r="D246" s="8" t="s">
        <v>329</v>
      </c>
      <c r="E246" s="21" t="s">
        <v>46</v>
      </c>
      <c r="F246" s="34">
        <v>247.83</v>
      </c>
      <c r="G246" s="15">
        <v>18.183499999999999</v>
      </c>
      <c r="H246" s="15">
        <f t="shared" si="26"/>
        <v>4506.4168049999998</v>
      </c>
      <c r="I246" s="15">
        <v>45.226999999999997</v>
      </c>
      <c r="J246" s="15">
        <f t="shared" si="27"/>
        <v>11208.607410000001</v>
      </c>
      <c r="K246" s="15">
        <f t="shared" si="22"/>
        <v>15715.024215000001</v>
      </c>
      <c r="L246" s="43"/>
    </row>
    <row r="247" spans="2:13" x14ac:dyDescent="0.2">
      <c r="B247" s="42">
        <f>IF(F247&lt;&gt;"",1+MAX($B$22:B246),"")</f>
        <v>131</v>
      </c>
      <c r="C247" s="112"/>
      <c r="D247" s="8" t="s">
        <v>330</v>
      </c>
      <c r="E247" s="21" t="s">
        <v>46</v>
      </c>
      <c r="F247" s="34">
        <v>2953.59</v>
      </c>
      <c r="G247" s="15">
        <v>14.839510000000001</v>
      </c>
      <c r="H247" s="15">
        <f t="shared" si="26"/>
        <v>43829.828340900007</v>
      </c>
      <c r="I247" s="15">
        <v>10.7826264</v>
      </c>
      <c r="J247" s="15">
        <f t="shared" si="27"/>
        <v>31847.457508776002</v>
      </c>
      <c r="K247" s="15">
        <f t="shared" si="22"/>
        <v>75677.285849676002</v>
      </c>
      <c r="L247" s="43"/>
      <c r="M247" s="2"/>
    </row>
    <row r="248" spans="2:13" x14ac:dyDescent="0.2">
      <c r="B248" s="42">
        <f>IF(F248&lt;&gt;"",1+MAX($B$22:B247),"")</f>
        <v>132</v>
      </c>
      <c r="C248" s="112"/>
      <c r="D248" s="8" t="s">
        <v>331</v>
      </c>
      <c r="E248" s="21" t="s">
        <v>46</v>
      </c>
      <c r="F248" s="34">
        <v>1332.91</v>
      </c>
      <c r="G248" s="15">
        <v>18.626999999999999</v>
      </c>
      <c r="H248" s="15">
        <f t="shared" si="26"/>
        <v>24828.114570000002</v>
      </c>
      <c r="I248" s="15">
        <v>36.945999999999998</v>
      </c>
      <c r="J248" s="15">
        <f t="shared" si="27"/>
        <v>49245.692860000003</v>
      </c>
      <c r="K248" s="15">
        <f t="shared" si="22"/>
        <v>74073.807430000001</v>
      </c>
      <c r="L248" s="43"/>
    </row>
    <row r="249" spans="2:13" x14ac:dyDescent="0.2">
      <c r="B249" s="42">
        <f>IF(F249&lt;&gt;"",1+MAX($B$22:B248),"")</f>
        <v>133</v>
      </c>
      <c r="C249" s="112"/>
      <c r="D249" s="8" t="s">
        <v>332</v>
      </c>
      <c r="E249" s="21" t="s">
        <v>46</v>
      </c>
      <c r="F249" s="34">
        <v>2403.59</v>
      </c>
      <c r="G249" s="15">
        <v>17.34085</v>
      </c>
      <c r="H249" s="15">
        <f t="shared" si="26"/>
        <v>41680.293651500004</v>
      </c>
      <c r="I249" s="15">
        <v>17.135300000000001</v>
      </c>
      <c r="J249" s="15">
        <f t="shared" si="27"/>
        <v>41186.235727000007</v>
      </c>
      <c r="K249" s="15">
        <f t="shared" si="22"/>
        <v>82866.52937850001</v>
      </c>
      <c r="L249" s="43"/>
    </row>
    <row r="250" spans="2:13" x14ac:dyDescent="0.2">
      <c r="B250" s="42">
        <f>IF(F250&lt;&gt;"",1+MAX($B$22:B249),"")</f>
        <v>134</v>
      </c>
      <c r="C250" s="112"/>
      <c r="D250" s="8" t="s">
        <v>333</v>
      </c>
      <c r="E250" s="21" t="s">
        <v>46</v>
      </c>
      <c r="F250" s="34">
        <v>126.13</v>
      </c>
      <c r="G250" s="15">
        <v>4.5680500000000004</v>
      </c>
      <c r="H250" s="15">
        <f t="shared" si="26"/>
        <v>576.16814650000003</v>
      </c>
      <c r="I250" s="15">
        <v>6.3195241200000005</v>
      </c>
      <c r="J250" s="15">
        <f t="shared" si="27"/>
        <v>797.0815772556</v>
      </c>
      <c r="K250" s="15">
        <f t="shared" si="22"/>
        <v>1373.2497237555999</v>
      </c>
      <c r="L250" s="43"/>
    </row>
    <row r="251" spans="2:13" x14ac:dyDescent="0.2">
      <c r="B251" s="42">
        <f>IF(F251&lt;&gt;"",1+MAX($B$22:B250),"")</f>
        <v>135</v>
      </c>
      <c r="C251" s="46"/>
      <c r="D251" s="8" t="s">
        <v>334</v>
      </c>
      <c r="E251" s="21" t="s">
        <v>46</v>
      </c>
      <c r="F251" s="34">
        <v>326</v>
      </c>
      <c r="G251" s="15">
        <v>12.01885</v>
      </c>
      <c r="H251" s="15">
        <f t="shared" ref="H251" si="28">F251*G251</f>
        <v>3918.1451000000002</v>
      </c>
      <c r="I251" s="15">
        <v>5.3886378000000006</v>
      </c>
      <c r="J251" s="15">
        <f t="shared" ref="J251" si="29">F251*I251</f>
        <v>1756.6959228000003</v>
      </c>
      <c r="K251" s="15">
        <f t="shared" ref="K251" si="30">H251+J251</f>
        <v>5674.8410228000002</v>
      </c>
      <c r="L251" s="43"/>
    </row>
    <row r="252" spans="2:13" x14ac:dyDescent="0.2">
      <c r="B252" s="42" t="str">
        <f>IF(F252&lt;&gt;"",1+MAX($B$22:B250),"")</f>
        <v/>
      </c>
      <c r="C252" s="46"/>
      <c r="D252" s="8"/>
      <c r="E252" s="21"/>
      <c r="F252" s="34"/>
      <c r="G252" s="15">
        <v>0</v>
      </c>
      <c r="H252" s="15">
        <f t="shared" si="26"/>
        <v>0</v>
      </c>
      <c r="I252" s="15">
        <v>0</v>
      </c>
      <c r="J252" s="15">
        <f t="shared" si="27"/>
        <v>0</v>
      </c>
      <c r="K252" s="15">
        <f t="shared" si="22"/>
        <v>0</v>
      </c>
      <c r="L252" s="43"/>
      <c r="M252" s="11"/>
    </row>
    <row r="253" spans="2:13" x14ac:dyDescent="0.2">
      <c r="B253" s="57" t="str">
        <f>IF(F253&lt;&gt;"",1+MAX($B$22:B252),"")</f>
        <v/>
      </c>
      <c r="C253" s="58"/>
      <c r="D253" s="59" t="s">
        <v>335</v>
      </c>
      <c r="E253" s="21"/>
      <c r="F253" s="34"/>
      <c r="G253" s="15">
        <v>0</v>
      </c>
      <c r="H253" s="15">
        <f t="shared" si="26"/>
        <v>0</v>
      </c>
      <c r="I253" s="15">
        <v>0</v>
      </c>
      <c r="J253" s="15">
        <f t="shared" si="27"/>
        <v>0</v>
      </c>
      <c r="K253" s="15">
        <f t="shared" si="22"/>
        <v>0</v>
      </c>
      <c r="L253" s="43"/>
    </row>
    <row r="254" spans="2:13" x14ac:dyDescent="0.2">
      <c r="B254" s="42">
        <f>IF(F254&lt;&gt;"",1+MAX($B$22:B253),"")</f>
        <v>136</v>
      </c>
      <c r="C254" s="46" t="s">
        <v>325</v>
      </c>
      <c r="D254" s="8" t="s">
        <v>336</v>
      </c>
      <c r="E254" s="21" t="s">
        <v>47</v>
      </c>
      <c r="F254" s="34">
        <v>9</v>
      </c>
      <c r="G254" s="15">
        <v>649.28399999999999</v>
      </c>
      <c r="H254" s="15">
        <f t="shared" si="26"/>
        <v>5843.5559999999996</v>
      </c>
      <c r="I254" s="15">
        <v>258.62199999999996</v>
      </c>
      <c r="J254" s="15">
        <f t="shared" si="27"/>
        <v>2327.5979999999995</v>
      </c>
      <c r="K254" s="15">
        <f t="shared" si="22"/>
        <v>8171.1539999999986</v>
      </c>
      <c r="L254" s="43"/>
      <c r="M254" s="11"/>
    </row>
    <row r="255" spans="2:13" x14ac:dyDescent="0.2">
      <c r="B255" s="42" t="str">
        <f>IF(F255&lt;&gt;"",1+MAX($B$22:B254),"")</f>
        <v/>
      </c>
      <c r="C255" s="46"/>
      <c r="D255" s="8"/>
      <c r="E255" s="21"/>
      <c r="F255" s="24"/>
      <c r="G255" s="15">
        <v>0</v>
      </c>
      <c r="H255" s="15">
        <f t="shared" si="26"/>
        <v>0</v>
      </c>
      <c r="I255" s="15">
        <v>0</v>
      </c>
      <c r="J255" s="15">
        <f t="shared" si="27"/>
        <v>0</v>
      </c>
      <c r="K255" s="15">
        <f t="shared" si="22"/>
        <v>0</v>
      </c>
      <c r="L255" s="43"/>
      <c r="M255" s="11"/>
    </row>
    <row r="256" spans="2:13" x14ac:dyDescent="0.2">
      <c r="B256" s="57" t="str">
        <f>IF(F256&lt;&gt;"",1+MAX($B$22:B255),"")</f>
        <v/>
      </c>
      <c r="C256" s="58"/>
      <c r="D256" s="59" t="s">
        <v>337</v>
      </c>
      <c r="E256" s="21"/>
      <c r="F256" s="34"/>
      <c r="G256" s="15">
        <v>0</v>
      </c>
      <c r="H256" s="15">
        <f t="shared" si="26"/>
        <v>0</v>
      </c>
      <c r="I256" s="15">
        <v>0</v>
      </c>
      <c r="J256" s="15">
        <f t="shared" si="27"/>
        <v>0</v>
      </c>
      <c r="K256" s="15">
        <f t="shared" si="22"/>
        <v>0</v>
      </c>
      <c r="L256" s="43"/>
    </row>
    <row r="257" spans="2:13" ht="127.5" x14ac:dyDescent="0.2">
      <c r="B257" s="42">
        <f>IF(F257&lt;&gt;"",1+MAX($B$22:B256),"")</f>
        <v>137</v>
      </c>
      <c r="C257" s="112" t="s">
        <v>325</v>
      </c>
      <c r="D257" s="8" t="s">
        <v>338</v>
      </c>
      <c r="E257" s="21" t="s">
        <v>47</v>
      </c>
      <c r="F257" s="34">
        <v>18</v>
      </c>
      <c r="G257" s="15">
        <v>204.01</v>
      </c>
      <c r="H257" s="15">
        <f t="shared" si="26"/>
        <v>3672.18</v>
      </c>
      <c r="I257" s="15">
        <v>234.64360009999999</v>
      </c>
      <c r="J257" s="15">
        <f t="shared" si="27"/>
        <v>4223.5848017999997</v>
      </c>
      <c r="K257" s="15">
        <f t="shared" si="22"/>
        <v>7895.7648018</v>
      </c>
      <c r="L257" s="43"/>
      <c r="M257" s="11"/>
    </row>
    <row r="258" spans="2:13" ht="127.5" x14ac:dyDescent="0.2">
      <c r="B258" s="42">
        <f>IF(F258&lt;&gt;"",1+MAX($B$22:B257),"")</f>
        <v>138</v>
      </c>
      <c r="C258" s="112"/>
      <c r="D258" s="8" t="s">
        <v>339</v>
      </c>
      <c r="E258" s="21" t="s">
        <v>47</v>
      </c>
      <c r="F258" s="34">
        <v>8</v>
      </c>
      <c r="G258" s="15">
        <v>204.01</v>
      </c>
      <c r="H258" s="15">
        <f t="shared" si="26"/>
        <v>1632.08</v>
      </c>
      <c r="I258" s="15">
        <v>234.64360009999999</v>
      </c>
      <c r="J258" s="15">
        <f t="shared" si="27"/>
        <v>1877.1488007999999</v>
      </c>
      <c r="K258" s="15">
        <f t="shared" si="22"/>
        <v>3509.2288007999996</v>
      </c>
      <c r="L258" s="43"/>
      <c r="M258" s="11"/>
    </row>
    <row r="259" spans="2:13" ht="191.25" x14ac:dyDescent="0.2">
      <c r="B259" s="42">
        <f>IF(F259&lt;&gt;"",1+MAX($B$22:B258),"")</f>
        <v>139</v>
      </c>
      <c r="C259" s="112"/>
      <c r="D259" s="8" t="s">
        <v>340</v>
      </c>
      <c r="E259" s="21" t="s">
        <v>47</v>
      </c>
      <c r="F259" s="34">
        <v>3</v>
      </c>
      <c r="G259" s="15">
        <v>283.84000000000003</v>
      </c>
      <c r="H259" s="15">
        <f t="shared" si="26"/>
        <v>851.5200000000001</v>
      </c>
      <c r="I259" s="15">
        <v>350.92333821999995</v>
      </c>
      <c r="J259" s="15">
        <f t="shared" si="27"/>
        <v>1052.7700146599998</v>
      </c>
      <c r="K259" s="15">
        <f t="shared" si="22"/>
        <v>1904.29001466</v>
      </c>
      <c r="L259" s="43"/>
      <c r="M259" s="11"/>
    </row>
    <row r="260" spans="2:13" ht="191.25" x14ac:dyDescent="0.2">
      <c r="B260" s="42">
        <f>IF(F260&lt;&gt;"",1+MAX($B$22:B259),"")</f>
        <v>140</v>
      </c>
      <c r="C260" s="112"/>
      <c r="D260" s="8" t="s">
        <v>341</v>
      </c>
      <c r="E260" s="21" t="s">
        <v>47</v>
      </c>
      <c r="F260" s="34">
        <v>7</v>
      </c>
      <c r="G260" s="15">
        <v>399.15</v>
      </c>
      <c r="H260" s="15">
        <f t="shared" si="26"/>
        <v>2794.0499999999997</v>
      </c>
      <c r="I260" s="15">
        <v>395.48046901999999</v>
      </c>
      <c r="J260" s="15">
        <f t="shared" si="27"/>
        <v>2768.36328314</v>
      </c>
      <c r="K260" s="15">
        <f t="shared" si="22"/>
        <v>5562.4132831400002</v>
      </c>
      <c r="L260" s="43"/>
      <c r="M260" s="11"/>
    </row>
    <row r="261" spans="2:13" ht="191.25" x14ac:dyDescent="0.2">
      <c r="B261" s="42">
        <f>IF(F261&lt;&gt;"",1+MAX($B$22:B260),"")</f>
        <v>141</v>
      </c>
      <c r="C261" s="112"/>
      <c r="D261" s="8" t="s">
        <v>342</v>
      </c>
      <c r="E261" s="21" t="s">
        <v>47</v>
      </c>
      <c r="F261" s="34">
        <v>2</v>
      </c>
      <c r="G261" s="15">
        <v>527.76499999999999</v>
      </c>
      <c r="H261" s="15">
        <f t="shared" si="26"/>
        <v>1055.53</v>
      </c>
      <c r="I261" s="15">
        <v>535.83543104</v>
      </c>
      <c r="J261" s="15">
        <f t="shared" si="27"/>
        <v>1071.67086208</v>
      </c>
      <c r="K261" s="15">
        <f t="shared" si="22"/>
        <v>2127.2008620799998</v>
      </c>
      <c r="L261" s="43"/>
      <c r="M261" s="11"/>
    </row>
    <row r="262" spans="2:13" ht="191.25" x14ac:dyDescent="0.2">
      <c r="B262" s="42">
        <f>IF(F262&lt;&gt;"",1+MAX($B$22:B261),"")</f>
        <v>142</v>
      </c>
      <c r="C262" s="112"/>
      <c r="D262" s="8" t="s">
        <v>343</v>
      </c>
      <c r="E262" s="21" t="s">
        <v>47</v>
      </c>
      <c r="F262" s="34">
        <v>12</v>
      </c>
      <c r="G262" s="15">
        <v>527.76499999999999</v>
      </c>
      <c r="H262" s="15">
        <f t="shared" si="26"/>
        <v>6333.18</v>
      </c>
      <c r="I262" s="15">
        <v>535.83543104</v>
      </c>
      <c r="J262" s="15">
        <f t="shared" si="27"/>
        <v>6430.02517248</v>
      </c>
      <c r="K262" s="15">
        <f t="shared" si="22"/>
        <v>12763.20517248</v>
      </c>
      <c r="L262" s="43"/>
      <c r="M262" s="11"/>
    </row>
    <row r="263" spans="2:13" x14ac:dyDescent="0.2">
      <c r="B263" s="42">
        <f>IF(F263&lt;&gt;"",1+MAX($B$22:B262),"")</f>
        <v>143</v>
      </c>
      <c r="C263" s="112"/>
      <c r="D263" s="8" t="s">
        <v>344</v>
      </c>
      <c r="E263" s="21" t="s">
        <v>47</v>
      </c>
      <c r="F263" s="34">
        <v>2</v>
      </c>
      <c r="G263" s="15">
        <v>399.15</v>
      </c>
      <c r="H263" s="15">
        <f t="shared" si="26"/>
        <v>798.3</v>
      </c>
      <c r="I263" s="15">
        <v>241.99629999999999</v>
      </c>
      <c r="J263" s="15">
        <f t="shared" si="27"/>
        <v>483.99259999999998</v>
      </c>
      <c r="K263" s="15">
        <f t="shared" ref="K263:K286" si="31">H263+J263</f>
        <v>1282.2926</v>
      </c>
      <c r="L263" s="43"/>
      <c r="M263" s="11"/>
    </row>
    <row r="264" spans="2:13" x14ac:dyDescent="0.2">
      <c r="B264" s="42">
        <f>IF(F264&lt;&gt;"",1+MAX($B$22:B263),"")</f>
        <v>144</v>
      </c>
      <c r="C264" s="112"/>
      <c r="D264" s="8" t="s">
        <v>345</v>
      </c>
      <c r="E264" s="21" t="s">
        <v>47</v>
      </c>
      <c r="F264" s="34">
        <v>3</v>
      </c>
      <c r="G264" s="15">
        <v>1618.7750000000001</v>
      </c>
      <c r="H264" s="15">
        <f t="shared" si="26"/>
        <v>4856.3250000000007</v>
      </c>
      <c r="I264" s="15">
        <v>1847.3</v>
      </c>
      <c r="J264" s="15">
        <f t="shared" si="27"/>
        <v>5541.9</v>
      </c>
      <c r="K264" s="15">
        <f t="shared" si="31"/>
        <v>10398.225</v>
      </c>
      <c r="L264" s="43"/>
      <c r="M264" s="11"/>
    </row>
    <row r="265" spans="2:13" x14ac:dyDescent="0.2">
      <c r="B265" s="42">
        <f>IF(F265&lt;&gt;"",1+MAX($B$22:B264),"")</f>
        <v>145</v>
      </c>
      <c r="C265" s="112"/>
      <c r="D265" s="8" t="s">
        <v>346</v>
      </c>
      <c r="E265" s="21" t="s">
        <v>47</v>
      </c>
      <c r="F265" s="34">
        <v>2</v>
      </c>
      <c r="G265" s="15">
        <v>1618.7750000000001</v>
      </c>
      <c r="H265" s="15">
        <f t="shared" si="26"/>
        <v>3237.55</v>
      </c>
      <c r="I265" s="15">
        <v>1847.3</v>
      </c>
      <c r="J265" s="15">
        <f t="shared" si="27"/>
        <v>3694.6</v>
      </c>
      <c r="K265" s="15">
        <f t="shared" si="31"/>
        <v>6932.15</v>
      </c>
      <c r="L265" s="43"/>
      <c r="M265" s="11"/>
    </row>
    <row r="266" spans="2:13" x14ac:dyDescent="0.2">
      <c r="B266" s="42" t="str">
        <f>IF(F266&lt;&gt;"",1+MAX($B$22:B265),"")</f>
        <v/>
      </c>
      <c r="C266" s="46"/>
      <c r="D266" s="8"/>
      <c r="E266" s="21"/>
      <c r="F266" s="24"/>
      <c r="G266" s="15">
        <v>0</v>
      </c>
      <c r="H266" s="15">
        <f t="shared" si="26"/>
        <v>0</v>
      </c>
      <c r="I266" s="15">
        <v>0</v>
      </c>
      <c r="J266" s="15">
        <f t="shared" si="27"/>
        <v>0</v>
      </c>
      <c r="K266" s="15">
        <f t="shared" si="31"/>
        <v>0</v>
      </c>
      <c r="L266" s="43"/>
      <c r="M266" s="11"/>
    </row>
    <row r="267" spans="2:13" x14ac:dyDescent="0.2">
      <c r="B267" s="57" t="str">
        <f>IF(F267&lt;&gt;"",1+MAX($B$22:B266),"")</f>
        <v/>
      </c>
      <c r="C267" s="58"/>
      <c r="D267" s="59" t="s">
        <v>239</v>
      </c>
      <c r="E267" s="21"/>
      <c r="F267" s="34"/>
      <c r="G267" s="15">
        <v>0</v>
      </c>
      <c r="H267" s="15">
        <f t="shared" si="26"/>
        <v>0</v>
      </c>
      <c r="I267" s="15">
        <v>0</v>
      </c>
      <c r="J267" s="15">
        <f t="shared" si="27"/>
        <v>0</v>
      </c>
      <c r="K267" s="15">
        <f t="shared" si="31"/>
        <v>0</v>
      </c>
      <c r="L267" s="43"/>
    </row>
    <row r="268" spans="2:13" x14ac:dyDescent="0.2">
      <c r="B268" s="42">
        <f>IF(F268&lt;&gt;"",1+MAX($B$22:B267),"")</f>
        <v>146</v>
      </c>
      <c r="C268" s="112" t="s">
        <v>325</v>
      </c>
      <c r="D268" s="8" t="s">
        <v>347</v>
      </c>
      <c r="E268" s="21" t="s">
        <v>45</v>
      </c>
      <c r="F268" s="34">
        <f>((9787*3.5*4)+(3863*2*2))/27</f>
        <v>5647.0370370370374</v>
      </c>
      <c r="G268" s="67">
        <v>0</v>
      </c>
      <c r="H268" s="67">
        <f t="shared" si="26"/>
        <v>0</v>
      </c>
      <c r="I268" s="15">
        <v>36.418436600000007</v>
      </c>
      <c r="J268" s="15">
        <f t="shared" si="27"/>
        <v>205656.26031118524</v>
      </c>
      <c r="K268" s="15">
        <f t="shared" si="31"/>
        <v>205656.26031118524</v>
      </c>
      <c r="L268" s="43"/>
    </row>
    <row r="269" spans="2:13" x14ac:dyDescent="0.2">
      <c r="B269" s="42">
        <f>IF(F269&lt;&gt;"",1+MAX($B$22:B268),"")</f>
        <v>147</v>
      </c>
      <c r="C269" s="112"/>
      <c r="D269" s="8" t="s">
        <v>241</v>
      </c>
      <c r="E269" s="21" t="s">
        <v>45</v>
      </c>
      <c r="F269" s="34">
        <f>F268-F270</f>
        <v>5360.6766666666672</v>
      </c>
      <c r="G269" s="67">
        <v>0</v>
      </c>
      <c r="H269" s="67">
        <f t="shared" si="26"/>
        <v>0</v>
      </c>
      <c r="I269" s="15">
        <v>19.362379400000002</v>
      </c>
      <c r="J269" s="15">
        <f t="shared" si="27"/>
        <v>103795.45546072735</v>
      </c>
      <c r="K269" s="15">
        <f t="shared" si="31"/>
        <v>103795.45546072735</v>
      </c>
      <c r="L269" s="43"/>
    </row>
    <row r="270" spans="2:13" x14ac:dyDescent="0.2">
      <c r="B270" s="42">
        <f>IF(F270&lt;&gt;"",1+MAX($B$22:B269),"")</f>
        <v>148</v>
      </c>
      <c r="C270" s="112"/>
      <c r="D270" s="8" t="s">
        <v>242</v>
      </c>
      <c r="E270" s="21" t="s">
        <v>45</v>
      </c>
      <c r="F270" s="34">
        <f>(0.79*9787)/27</f>
        <v>286.36037037037039</v>
      </c>
      <c r="G270" s="67">
        <v>0</v>
      </c>
      <c r="H270" s="67">
        <f t="shared" si="26"/>
        <v>0</v>
      </c>
      <c r="I270" s="15">
        <v>9.9225490000000001</v>
      </c>
      <c r="J270" s="15">
        <f t="shared" si="27"/>
        <v>2841.4248066581486</v>
      </c>
      <c r="K270" s="15">
        <f t="shared" si="31"/>
        <v>2841.4248066581486</v>
      </c>
      <c r="L270" s="43"/>
    </row>
    <row r="271" spans="2:13" x14ac:dyDescent="0.2">
      <c r="B271" s="42">
        <f>IF(F271&lt;&gt;"",1+MAX($B$22:B270),"")</f>
        <v>149</v>
      </c>
      <c r="C271" s="112"/>
      <c r="D271" s="8" t="s">
        <v>363</v>
      </c>
      <c r="E271" s="21" t="s">
        <v>364</v>
      </c>
      <c r="F271" s="61">
        <f>F270/60*3</f>
        <v>14.318018518518519</v>
      </c>
      <c r="G271" s="67">
        <v>0</v>
      </c>
      <c r="H271" s="67">
        <f t="shared" si="26"/>
        <v>0</v>
      </c>
      <c r="I271" s="15">
        <v>130</v>
      </c>
      <c r="J271" s="15">
        <f t="shared" si="27"/>
        <v>1861.3424074074076</v>
      </c>
      <c r="K271" s="15">
        <f t="shared" si="31"/>
        <v>1861.3424074074076</v>
      </c>
      <c r="L271" s="43"/>
      <c r="M271" s="11"/>
    </row>
    <row r="272" spans="2:13" x14ac:dyDescent="0.2">
      <c r="B272" s="42" t="str">
        <f>IF(F272&lt;&gt;"",1+MAX($B$22:B271),"")</f>
        <v/>
      </c>
      <c r="C272" s="46"/>
      <c r="D272" s="8"/>
      <c r="E272" s="21"/>
      <c r="F272" s="34"/>
      <c r="G272" s="15">
        <v>0</v>
      </c>
      <c r="H272" s="15">
        <f t="shared" si="26"/>
        <v>0</v>
      </c>
      <c r="I272" s="15">
        <v>0</v>
      </c>
      <c r="J272" s="15">
        <f t="shared" si="27"/>
        <v>0</v>
      </c>
      <c r="K272" s="15">
        <f t="shared" si="31"/>
        <v>0</v>
      </c>
      <c r="L272" s="43"/>
    </row>
    <row r="273" spans="2:13" x14ac:dyDescent="0.2">
      <c r="B273" s="57" t="str">
        <f>IF(F273&lt;&gt;"",1+MAX($B$22:B272),"")</f>
        <v/>
      </c>
      <c r="C273" s="58"/>
      <c r="D273" s="59" t="s">
        <v>348</v>
      </c>
      <c r="E273" s="21"/>
      <c r="F273" s="34"/>
      <c r="G273" s="15">
        <v>0</v>
      </c>
      <c r="H273" s="15">
        <f t="shared" si="26"/>
        <v>0</v>
      </c>
      <c r="I273" s="15">
        <v>0</v>
      </c>
      <c r="J273" s="15">
        <f t="shared" si="27"/>
        <v>0</v>
      </c>
      <c r="K273" s="15">
        <f t="shared" si="31"/>
        <v>0</v>
      </c>
      <c r="L273" s="43"/>
    </row>
    <row r="274" spans="2:13" ht="38.25" x14ac:dyDescent="0.2">
      <c r="B274" s="42">
        <f>IF(F274&lt;&gt;"",1+MAX($B$22:B273),"")</f>
        <v>150</v>
      </c>
      <c r="C274" s="112" t="s">
        <v>325</v>
      </c>
      <c r="D274" s="8" t="s">
        <v>349</v>
      </c>
      <c r="E274" s="21" t="s">
        <v>47</v>
      </c>
      <c r="F274" s="34">
        <v>1</v>
      </c>
      <c r="G274" s="15">
        <v>3769.75</v>
      </c>
      <c r="H274" s="15">
        <f t="shared" si="26"/>
        <v>3769.75</v>
      </c>
      <c r="I274" s="15">
        <v>4761.1450249999998</v>
      </c>
      <c r="J274" s="15">
        <f t="shared" si="27"/>
        <v>4761.1450249999998</v>
      </c>
      <c r="K274" s="15">
        <f t="shared" si="31"/>
        <v>8530.8950249999998</v>
      </c>
      <c r="L274" s="43"/>
    </row>
    <row r="275" spans="2:13" ht="38.25" x14ac:dyDescent="0.2">
      <c r="B275" s="42">
        <f>IF(F275&lt;&gt;"",1+MAX($B$22:B274),"")</f>
        <v>151</v>
      </c>
      <c r="C275" s="112"/>
      <c r="D275" s="8" t="s">
        <v>350</v>
      </c>
      <c r="E275" s="21" t="s">
        <v>47</v>
      </c>
      <c r="F275" s="34">
        <v>1</v>
      </c>
      <c r="G275" s="15">
        <v>3769.75</v>
      </c>
      <c r="H275" s="15">
        <f t="shared" si="26"/>
        <v>3769.75</v>
      </c>
      <c r="I275" s="15">
        <v>4761.1450249999998</v>
      </c>
      <c r="J275" s="15">
        <f t="shared" si="27"/>
        <v>4761.1450249999998</v>
      </c>
      <c r="K275" s="15">
        <f t="shared" si="31"/>
        <v>8530.8950249999998</v>
      </c>
      <c r="L275" s="43"/>
    </row>
    <row r="276" spans="2:13" ht="38.25" x14ac:dyDescent="0.2">
      <c r="B276" s="42">
        <f>IF(F276&lt;&gt;"",1+MAX($B$22:B275),"")</f>
        <v>152</v>
      </c>
      <c r="C276" s="112"/>
      <c r="D276" s="8" t="s">
        <v>351</v>
      </c>
      <c r="E276" s="21" t="s">
        <v>47</v>
      </c>
      <c r="F276" s="34">
        <v>1</v>
      </c>
      <c r="G276" s="15">
        <v>3769.75</v>
      </c>
      <c r="H276" s="15">
        <f t="shared" si="26"/>
        <v>3769.75</v>
      </c>
      <c r="I276" s="15">
        <v>4761.1450249999998</v>
      </c>
      <c r="J276" s="15">
        <f t="shared" si="27"/>
        <v>4761.1450249999998</v>
      </c>
      <c r="K276" s="15">
        <f t="shared" si="31"/>
        <v>8530.8950249999998</v>
      </c>
      <c r="L276" s="43"/>
    </row>
    <row r="277" spans="2:13" ht="38.25" x14ac:dyDescent="0.2">
      <c r="B277" s="42">
        <f>IF(F277&lt;&gt;"",1+MAX($B$22:B276),"")</f>
        <v>153</v>
      </c>
      <c r="C277" s="112"/>
      <c r="D277" s="8" t="s">
        <v>352</v>
      </c>
      <c r="E277" s="21" t="s">
        <v>47</v>
      </c>
      <c r="F277" s="34">
        <v>1</v>
      </c>
      <c r="G277" s="15">
        <v>3769.75</v>
      </c>
      <c r="H277" s="15">
        <f t="shared" si="26"/>
        <v>3769.75</v>
      </c>
      <c r="I277" s="15">
        <v>4761.1450249999998</v>
      </c>
      <c r="J277" s="15">
        <f t="shared" si="27"/>
        <v>4761.1450249999998</v>
      </c>
      <c r="K277" s="15">
        <f t="shared" si="31"/>
        <v>8530.8950249999998</v>
      </c>
      <c r="L277" s="43"/>
    </row>
    <row r="278" spans="2:13" x14ac:dyDescent="0.2">
      <c r="B278" s="42" t="str">
        <f>IF(F278&lt;&gt;"",1+MAX($B$22:B277),"")</f>
        <v/>
      </c>
      <c r="C278" s="46"/>
      <c r="D278" s="8"/>
      <c r="E278" s="21"/>
      <c r="F278" s="34"/>
      <c r="G278" s="15">
        <v>0</v>
      </c>
      <c r="H278" s="15">
        <f t="shared" si="26"/>
        <v>0</v>
      </c>
      <c r="I278" s="15">
        <v>0</v>
      </c>
      <c r="J278" s="15">
        <f t="shared" si="27"/>
        <v>0</v>
      </c>
      <c r="K278" s="15">
        <f t="shared" si="31"/>
        <v>0</v>
      </c>
      <c r="L278" s="43"/>
    </row>
    <row r="279" spans="2:13" x14ac:dyDescent="0.2">
      <c r="B279" s="57" t="str">
        <f>IF(F279&lt;&gt;"",1+MAX($B$22:B278),"")</f>
        <v/>
      </c>
      <c r="C279" s="58"/>
      <c r="D279" s="59" t="s">
        <v>54</v>
      </c>
      <c r="E279" s="21"/>
      <c r="F279" s="34"/>
      <c r="G279" s="15">
        <v>0</v>
      </c>
      <c r="H279" s="15">
        <f t="shared" si="26"/>
        <v>0</v>
      </c>
      <c r="I279" s="15">
        <v>0</v>
      </c>
      <c r="J279" s="15">
        <f t="shared" si="27"/>
        <v>0</v>
      </c>
      <c r="K279" s="15">
        <f t="shared" si="31"/>
        <v>0</v>
      </c>
      <c r="L279" s="43"/>
    </row>
    <row r="280" spans="2:13" x14ac:dyDescent="0.2">
      <c r="B280" s="42">
        <f>IF(F280&lt;&gt;"",1+MAX($B$22:B279),"")</f>
        <v>154</v>
      </c>
      <c r="C280" s="112" t="s">
        <v>325</v>
      </c>
      <c r="D280" s="8" t="s">
        <v>353</v>
      </c>
      <c r="E280" s="21" t="s">
        <v>47</v>
      </c>
      <c r="F280" s="34">
        <v>3</v>
      </c>
      <c r="G280" s="15">
        <v>372.54</v>
      </c>
      <c r="H280" s="15">
        <f t="shared" si="26"/>
        <v>1117.6200000000001</v>
      </c>
      <c r="I280" s="15">
        <v>242.73522</v>
      </c>
      <c r="J280" s="15">
        <f t="shared" si="27"/>
        <v>728.20565999999997</v>
      </c>
      <c r="K280" s="15">
        <f t="shared" si="31"/>
        <v>1845.82566</v>
      </c>
      <c r="L280" s="43"/>
      <c r="M280" s="11"/>
    </row>
    <row r="281" spans="2:13" x14ac:dyDescent="0.2">
      <c r="B281" s="42">
        <f>IF(F281&lt;&gt;"",1+MAX($B$22:B280),"")</f>
        <v>155</v>
      </c>
      <c r="C281" s="112"/>
      <c r="D281" s="8" t="s">
        <v>354</v>
      </c>
      <c r="E281" s="21" t="s">
        <v>47</v>
      </c>
      <c r="F281" s="34">
        <v>4</v>
      </c>
      <c r="G281" s="15">
        <v>310.45</v>
      </c>
      <c r="H281" s="15">
        <f t="shared" si="26"/>
        <v>1241.8</v>
      </c>
      <c r="I281" s="15">
        <v>79.20610880000001</v>
      </c>
      <c r="J281" s="15">
        <f t="shared" si="27"/>
        <v>316.82443520000004</v>
      </c>
      <c r="K281" s="15">
        <f t="shared" si="31"/>
        <v>1558.6244351999999</v>
      </c>
      <c r="L281" s="43"/>
      <c r="M281" s="11"/>
    </row>
    <row r="282" spans="2:13" x14ac:dyDescent="0.2">
      <c r="B282" s="42">
        <f>IF(F282&lt;&gt;"",1+MAX($B$22:B281),"")</f>
        <v>156</v>
      </c>
      <c r="C282" s="112"/>
      <c r="D282" s="8" t="s">
        <v>355</v>
      </c>
      <c r="E282" s="21" t="s">
        <v>47</v>
      </c>
      <c r="F282" s="34">
        <v>2</v>
      </c>
      <c r="G282" s="15">
        <v>354.8</v>
      </c>
      <c r="H282" s="15">
        <f t="shared" si="26"/>
        <v>709.6</v>
      </c>
      <c r="I282" s="15">
        <v>99.007635999999991</v>
      </c>
      <c r="J282" s="15">
        <f t="shared" si="27"/>
        <v>198.01527199999998</v>
      </c>
      <c r="K282" s="15">
        <f t="shared" si="31"/>
        <v>907.615272</v>
      </c>
      <c r="L282" s="43"/>
      <c r="M282" s="11"/>
    </row>
    <row r="283" spans="2:13" x14ac:dyDescent="0.2">
      <c r="B283" s="42">
        <f>IF(F283&lt;&gt;"",1+MAX($B$22:B282),"")</f>
        <v>157</v>
      </c>
      <c r="C283" s="112"/>
      <c r="D283" s="8" t="s">
        <v>356</v>
      </c>
      <c r="E283" s="21" t="s">
        <v>47</v>
      </c>
      <c r="F283" s="34">
        <v>1</v>
      </c>
      <c r="G283" s="15">
        <v>9224.7999999999993</v>
      </c>
      <c r="H283" s="15">
        <f t="shared" si="26"/>
        <v>9224.7999999999993</v>
      </c>
      <c r="I283" s="15">
        <v>2728.0162</v>
      </c>
      <c r="J283" s="15">
        <f t="shared" si="27"/>
        <v>2728.0162</v>
      </c>
      <c r="K283" s="15">
        <f t="shared" si="31"/>
        <v>11952.816199999999</v>
      </c>
      <c r="L283" s="43"/>
      <c r="M283" s="11"/>
    </row>
    <row r="284" spans="2:13" x14ac:dyDescent="0.2">
      <c r="B284" s="42">
        <f>IF(F284&lt;&gt;"",1+MAX($B$22:B283),"")</f>
        <v>158</v>
      </c>
      <c r="C284" s="112"/>
      <c r="D284" s="8" t="s">
        <v>357</v>
      </c>
      <c r="E284" s="21" t="s">
        <v>47</v>
      </c>
      <c r="F284" s="34">
        <v>1</v>
      </c>
      <c r="G284" s="15">
        <v>665.25</v>
      </c>
      <c r="H284" s="15">
        <f t="shared" si="26"/>
        <v>665.25</v>
      </c>
      <c r="I284" s="15">
        <v>295.56799999999998</v>
      </c>
      <c r="J284" s="15">
        <f t="shared" si="27"/>
        <v>295.56799999999998</v>
      </c>
      <c r="K284" s="15">
        <f t="shared" si="31"/>
        <v>960.81799999999998</v>
      </c>
      <c r="L284" s="43"/>
      <c r="M284" s="11"/>
    </row>
    <row r="285" spans="2:13" x14ac:dyDescent="0.2">
      <c r="B285" s="42">
        <f>IF(F285&lt;&gt;"",1+MAX($B$22:B284),"")</f>
        <v>159</v>
      </c>
      <c r="C285" s="112"/>
      <c r="D285" s="8" t="s">
        <v>358</v>
      </c>
      <c r="E285" s="21" t="s">
        <v>47</v>
      </c>
      <c r="F285" s="34">
        <v>6</v>
      </c>
      <c r="G285" s="15">
        <v>3082.3249999999998</v>
      </c>
      <c r="H285" s="15">
        <f t="shared" si="26"/>
        <v>18493.949999999997</v>
      </c>
      <c r="I285" s="15">
        <v>330.61478449999998</v>
      </c>
      <c r="J285" s="15">
        <f t="shared" si="27"/>
        <v>1983.6887069999998</v>
      </c>
      <c r="K285" s="15">
        <f t="shared" si="31"/>
        <v>20477.638706999998</v>
      </c>
      <c r="L285" s="43"/>
      <c r="M285" s="11"/>
    </row>
    <row r="286" spans="2:13" x14ac:dyDescent="0.2">
      <c r="B286" s="42" t="str">
        <f>IF(F286&lt;&gt;"",1+MAX($B$22:B285),"")</f>
        <v/>
      </c>
      <c r="C286" s="46"/>
      <c r="D286" s="8"/>
      <c r="E286" s="21"/>
      <c r="F286" s="24"/>
      <c r="G286" s="15">
        <v>0</v>
      </c>
      <c r="H286" s="15">
        <f t="shared" si="26"/>
        <v>0</v>
      </c>
      <c r="I286" s="15">
        <v>0</v>
      </c>
      <c r="J286" s="15">
        <f t="shared" si="27"/>
        <v>0</v>
      </c>
      <c r="K286" s="15">
        <f t="shared" si="31"/>
        <v>0</v>
      </c>
      <c r="L286" s="43"/>
      <c r="M286" s="11"/>
    </row>
    <row r="287" spans="2:13" ht="18.75" x14ac:dyDescent="0.2">
      <c r="B287" s="126" t="s">
        <v>76</v>
      </c>
      <c r="C287" s="126"/>
      <c r="D287" s="126"/>
      <c r="E287" s="126"/>
      <c r="F287" s="126"/>
      <c r="G287" s="126"/>
      <c r="H287" s="126"/>
      <c r="I287" s="126"/>
      <c r="J287" s="126"/>
      <c r="K287" s="126"/>
      <c r="L287" s="126"/>
      <c r="M287" s="11"/>
    </row>
    <row r="288" spans="2:13" ht="12.75" customHeight="1" x14ac:dyDescent="0.2">
      <c r="B288" s="116" t="s">
        <v>5</v>
      </c>
      <c r="C288" s="116" t="s">
        <v>31</v>
      </c>
      <c r="D288" s="114" t="s">
        <v>1</v>
      </c>
      <c r="E288" s="116" t="s">
        <v>6</v>
      </c>
      <c r="F288" s="114" t="s">
        <v>13</v>
      </c>
      <c r="G288" s="114" t="s">
        <v>12</v>
      </c>
      <c r="H288" s="114"/>
      <c r="I288" s="120" t="s">
        <v>11</v>
      </c>
      <c r="J288" s="120"/>
      <c r="K288" s="119" t="s">
        <v>4</v>
      </c>
      <c r="L288" s="119" t="s">
        <v>74</v>
      </c>
      <c r="M288" s="11"/>
    </row>
    <row r="289" spans="2:28" ht="27.75" customHeight="1" x14ac:dyDescent="0.2">
      <c r="B289" s="116"/>
      <c r="C289" s="116"/>
      <c r="D289" s="114"/>
      <c r="E289" s="116"/>
      <c r="F289" s="114"/>
      <c r="G289" s="56" t="s">
        <v>10</v>
      </c>
      <c r="H289" s="56" t="s">
        <v>9</v>
      </c>
      <c r="I289" s="55" t="s">
        <v>10</v>
      </c>
      <c r="J289" s="56" t="s">
        <v>9</v>
      </c>
      <c r="K289" s="119"/>
      <c r="L289" s="119"/>
      <c r="M289" s="11"/>
    </row>
    <row r="290" spans="2:28" s="11" customFormat="1" x14ac:dyDescent="0.2">
      <c r="B290" s="54" t="str">
        <f>IF(F290&lt;&gt;"",1+MAX($B$2:B289),"")</f>
        <v/>
      </c>
      <c r="C290" s="25"/>
      <c r="D290" s="26"/>
      <c r="E290" s="22"/>
      <c r="F290" s="27"/>
      <c r="G290" s="28"/>
      <c r="H290" s="29"/>
      <c r="I290" s="28"/>
      <c r="J290" s="29"/>
      <c r="K290" s="30"/>
      <c r="L290" s="4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</row>
    <row r="291" spans="2:28" s="11" customFormat="1" ht="12.75" customHeight="1" x14ac:dyDescent="0.2">
      <c r="B291" s="12" t="str">
        <f>IF(F291&lt;&gt;"",1+MAX($B$2:B218),"")</f>
        <v/>
      </c>
      <c r="C291" s="12" t="s">
        <v>75</v>
      </c>
      <c r="D291" s="6" t="s">
        <v>372</v>
      </c>
      <c r="E291" s="113" t="s">
        <v>34</v>
      </c>
      <c r="F291" s="113"/>
      <c r="G291" s="45">
        <f>SUM(H292:H308)</f>
        <v>11174.111016444444</v>
      </c>
      <c r="H291" s="7">
        <f t="shared" ref="H291:H338" si="32">F291*G291</f>
        <v>0</v>
      </c>
      <c r="I291" s="45">
        <f>SUM(J292:J308)</f>
        <v>15067.107587469411</v>
      </c>
      <c r="J291" s="7">
        <f t="shared" ref="J291:J338" si="33">F291*I291</f>
        <v>0</v>
      </c>
      <c r="K291" s="41">
        <f>SUM(K292:K308)</f>
        <v>26241.218603913858</v>
      </c>
      <c r="L291" s="41">
        <f>(K291)+(G291*$K$8)+(I291*$K$9)+(K291*$K$10)+($K$11*((K291)+(G291*$K$8)+(I291*$K$9)+(K291*$K$10)))+(K291*$K$12)</f>
        <v>37018.809201406075</v>
      </c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</row>
    <row r="292" spans="2:28" x14ac:dyDescent="0.2">
      <c r="B292" s="42" t="str">
        <f>IF(F292&lt;&gt;"",1+MAX($B$2:B291),"")</f>
        <v/>
      </c>
      <c r="C292" s="46"/>
      <c r="D292" s="8"/>
      <c r="E292" s="21"/>
      <c r="F292" s="24"/>
      <c r="G292" s="15">
        <v>0</v>
      </c>
      <c r="H292" s="15">
        <f t="shared" si="32"/>
        <v>0</v>
      </c>
      <c r="I292" s="15">
        <v>0</v>
      </c>
      <c r="J292" s="15">
        <f t="shared" si="33"/>
        <v>0</v>
      </c>
      <c r="K292" s="15">
        <f t="shared" ref="K292:K308" si="34">H292+J292</f>
        <v>0</v>
      </c>
      <c r="L292" s="43"/>
      <c r="M292" s="11"/>
    </row>
    <row r="293" spans="2:28" x14ac:dyDescent="0.2">
      <c r="B293" s="57" t="str">
        <f>IF(F293&lt;&gt;"",1+MAX($B$22:B292),"")</f>
        <v/>
      </c>
      <c r="C293" s="58"/>
      <c r="D293" s="59" t="s">
        <v>235</v>
      </c>
      <c r="E293" s="21"/>
      <c r="F293" s="34"/>
      <c r="G293" s="15">
        <v>0</v>
      </c>
      <c r="H293" s="15">
        <f t="shared" si="32"/>
        <v>0</v>
      </c>
      <c r="I293" s="15">
        <v>0</v>
      </c>
      <c r="J293" s="15">
        <f t="shared" si="33"/>
        <v>0</v>
      </c>
      <c r="K293" s="15">
        <f t="shared" si="34"/>
        <v>0</v>
      </c>
      <c r="L293" s="43"/>
    </row>
    <row r="294" spans="2:28" x14ac:dyDescent="0.2">
      <c r="B294" s="42">
        <f>IF(F294&lt;&gt;"",1+MAX($B$22:B293),"")</f>
        <v>160</v>
      </c>
      <c r="C294" s="112" t="s">
        <v>236</v>
      </c>
      <c r="D294" s="8" t="s">
        <v>237</v>
      </c>
      <c r="E294" s="46" t="s">
        <v>44</v>
      </c>
      <c r="F294" s="34">
        <f>1586.94</f>
        <v>1586.94</v>
      </c>
      <c r="G294" s="15">
        <v>1.0200499999999999</v>
      </c>
      <c r="H294" s="15">
        <f t="shared" si="32"/>
        <v>1618.758147</v>
      </c>
      <c r="I294" s="15">
        <v>1.3271257999999999</v>
      </c>
      <c r="J294" s="15">
        <f t="shared" si="33"/>
        <v>2106.0690170519997</v>
      </c>
      <c r="K294" s="15">
        <f t="shared" si="34"/>
        <v>3724.8271640519997</v>
      </c>
      <c r="L294" s="43"/>
    </row>
    <row r="295" spans="2:28" ht="51" x14ac:dyDescent="0.2">
      <c r="B295" s="42">
        <f>IF(F295&lt;&gt;"",1+MAX($B$22:B294),"")</f>
        <v>161</v>
      </c>
      <c r="C295" s="112"/>
      <c r="D295" s="8" t="s">
        <v>238</v>
      </c>
      <c r="E295" s="46" t="s">
        <v>44</v>
      </c>
      <c r="F295" s="34">
        <f>(4.5*4.5*4)+(6.5*6.5*6)+(10*10*2)</f>
        <v>534.5</v>
      </c>
      <c r="G295" s="15">
        <v>0.84265000000000001</v>
      </c>
      <c r="H295" s="15">
        <f t="shared" si="32"/>
        <v>450.39642500000002</v>
      </c>
      <c r="I295" s="15">
        <v>0.66356289999999996</v>
      </c>
      <c r="J295" s="15">
        <f t="shared" si="33"/>
        <v>354.67437004999999</v>
      </c>
      <c r="K295" s="15">
        <f t="shared" si="34"/>
        <v>805.07079505000002</v>
      </c>
      <c r="L295" s="43"/>
    </row>
    <row r="296" spans="2:28" x14ac:dyDescent="0.2">
      <c r="B296" s="42" t="str">
        <f>IF(F296&lt;&gt;"",1+MAX($B$22:B295),"")</f>
        <v/>
      </c>
      <c r="C296" s="46"/>
      <c r="D296" s="8"/>
      <c r="E296" s="21"/>
      <c r="F296" s="34"/>
      <c r="G296" s="15">
        <v>0</v>
      </c>
      <c r="H296" s="15">
        <f t="shared" si="32"/>
        <v>0</v>
      </c>
      <c r="I296" s="15">
        <v>0</v>
      </c>
      <c r="J296" s="15">
        <f t="shared" si="33"/>
        <v>0</v>
      </c>
      <c r="K296" s="15">
        <f t="shared" si="34"/>
        <v>0</v>
      </c>
      <c r="L296" s="43"/>
      <c r="M296" s="11"/>
    </row>
    <row r="297" spans="2:28" x14ac:dyDescent="0.2">
      <c r="B297" s="57" t="str">
        <f>IF(F297&lt;&gt;"",1+MAX($B$22:B296),"")</f>
        <v/>
      </c>
      <c r="C297" s="58"/>
      <c r="D297" s="59" t="s">
        <v>239</v>
      </c>
      <c r="E297" s="21"/>
      <c r="F297" s="34"/>
      <c r="G297" s="15">
        <v>0</v>
      </c>
      <c r="H297" s="15">
        <f t="shared" si="32"/>
        <v>0</v>
      </c>
      <c r="I297" s="15">
        <v>0</v>
      </c>
      <c r="J297" s="15">
        <f t="shared" si="33"/>
        <v>0</v>
      </c>
      <c r="K297" s="15">
        <f t="shared" si="34"/>
        <v>0</v>
      </c>
      <c r="L297" s="43"/>
    </row>
    <row r="298" spans="2:28" x14ac:dyDescent="0.2">
      <c r="B298" s="42">
        <f>IF(F298&lt;&gt;"",1+MAX($B$22:B297),"")</f>
        <v>162</v>
      </c>
      <c r="C298" s="112" t="s">
        <v>236</v>
      </c>
      <c r="D298" s="8" t="s">
        <v>240</v>
      </c>
      <c r="E298" s="21" t="s">
        <v>45</v>
      </c>
      <c r="F298" s="61">
        <f>228.4/27</f>
        <v>8.4592592592592588</v>
      </c>
      <c r="G298" s="67">
        <v>0</v>
      </c>
      <c r="H298" s="67">
        <f t="shared" si="32"/>
        <v>0</v>
      </c>
      <c r="I298" s="15">
        <v>36.418436600000007</v>
      </c>
      <c r="J298" s="15">
        <f t="shared" si="33"/>
        <v>308.07299701629631</v>
      </c>
      <c r="K298" s="15">
        <f t="shared" si="34"/>
        <v>308.07299701629631</v>
      </c>
      <c r="L298" s="43"/>
    </row>
    <row r="299" spans="2:28" x14ac:dyDescent="0.2">
      <c r="B299" s="42">
        <f>IF(F299&lt;&gt;"",1+MAX($B$22:B298),"")</f>
        <v>163</v>
      </c>
      <c r="C299" s="112"/>
      <c r="D299" s="8" t="s">
        <v>241</v>
      </c>
      <c r="E299" s="21" t="s">
        <v>45</v>
      </c>
      <c r="F299" s="61">
        <f>F298-F300</f>
        <v>3.8592592592592592</v>
      </c>
      <c r="G299" s="67">
        <v>0</v>
      </c>
      <c r="H299" s="67">
        <f t="shared" si="32"/>
        <v>0</v>
      </c>
      <c r="I299" s="15">
        <v>19.362379400000002</v>
      </c>
      <c r="J299" s="15">
        <f t="shared" si="33"/>
        <v>74.72444198074075</v>
      </c>
      <c r="K299" s="15">
        <f t="shared" si="34"/>
        <v>74.72444198074075</v>
      </c>
      <c r="L299" s="43"/>
    </row>
    <row r="300" spans="2:28" x14ac:dyDescent="0.2">
      <c r="B300" s="42">
        <f>IF(F300&lt;&gt;"",1+MAX($B$22:B299),"")</f>
        <v>164</v>
      </c>
      <c r="C300" s="112"/>
      <c r="D300" s="8" t="s">
        <v>242</v>
      </c>
      <c r="E300" s="21" t="s">
        <v>45</v>
      </c>
      <c r="F300" s="61">
        <f>4.6</f>
        <v>4.5999999999999996</v>
      </c>
      <c r="G300" s="67">
        <v>0</v>
      </c>
      <c r="H300" s="67">
        <f t="shared" si="32"/>
        <v>0</v>
      </c>
      <c r="I300" s="15">
        <v>9.9225490000000001</v>
      </c>
      <c r="J300" s="15">
        <f t="shared" si="33"/>
        <v>45.643725399999994</v>
      </c>
      <c r="K300" s="15">
        <f t="shared" si="34"/>
        <v>45.643725399999994</v>
      </c>
      <c r="L300" s="43"/>
    </row>
    <row r="301" spans="2:28" x14ac:dyDescent="0.2">
      <c r="B301" s="42">
        <f>IF(F301&lt;&gt;"",1+MAX($B$22:B300),"")</f>
        <v>165</v>
      </c>
      <c r="C301" s="112"/>
      <c r="D301" s="8" t="s">
        <v>363</v>
      </c>
      <c r="E301" s="21" t="s">
        <v>364</v>
      </c>
      <c r="F301" s="61">
        <f>F300/60*3</f>
        <v>0.22999999999999998</v>
      </c>
      <c r="G301" s="67">
        <v>0</v>
      </c>
      <c r="H301" s="67">
        <f t="shared" si="32"/>
        <v>0</v>
      </c>
      <c r="I301" s="15">
        <v>130</v>
      </c>
      <c r="J301" s="15">
        <f t="shared" si="33"/>
        <v>29.9</v>
      </c>
      <c r="K301" s="15">
        <f t="shared" si="34"/>
        <v>29.9</v>
      </c>
      <c r="L301" s="43"/>
      <c r="M301" s="11"/>
    </row>
    <row r="302" spans="2:28" x14ac:dyDescent="0.2">
      <c r="B302" s="42" t="str">
        <f>IF(F302&lt;&gt;"",1+MAX($B$22:B301),"")</f>
        <v/>
      </c>
      <c r="C302" s="46"/>
      <c r="D302" s="8"/>
      <c r="E302" s="21"/>
      <c r="F302" s="61"/>
      <c r="G302" s="15">
        <v>0</v>
      </c>
      <c r="H302" s="15">
        <f t="shared" si="32"/>
        <v>0</v>
      </c>
      <c r="I302" s="15">
        <v>0</v>
      </c>
      <c r="J302" s="15">
        <f t="shared" si="33"/>
        <v>0</v>
      </c>
      <c r="K302" s="15">
        <f t="shared" si="34"/>
        <v>0</v>
      </c>
      <c r="L302" s="43"/>
    </row>
    <row r="303" spans="2:28" x14ac:dyDescent="0.2">
      <c r="B303" s="57" t="str">
        <f>IF(F303&lt;&gt;"",1+MAX($B$22:B302),"")</f>
        <v/>
      </c>
      <c r="C303" s="58"/>
      <c r="D303" s="59" t="s">
        <v>367</v>
      </c>
      <c r="E303" s="21"/>
      <c r="F303" s="34"/>
      <c r="G303" s="15">
        <v>0</v>
      </c>
      <c r="H303" s="15">
        <f t="shared" si="32"/>
        <v>0</v>
      </c>
      <c r="I303" s="15">
        <v>0</v>
      </c>
      <c r="J303" s="15">
        <f t="shared" si="33"/>
        <v>0</v>
      </c>
      <c r="K303" s="15">
        <f t="shared" si="34"/>
        <v>0</v>
      </c>
      <c r="L303" s="43"/>
    </row>
    <row r="304" spans="2:28" x14ac:dyDescent="0.2">
      <c r="B304" s="42">
        <f>IF(F304&lt;&gt;"",1+MAX($B$22:B303),"")</f>
        <v>166</v>
      </c>
      <c r="C304" s="112"/>
      <c r="D304" s="8" t="s">
        <v>316</v>
      </c>
      <c r="E304" s="21" t="s">
        <v>45</v>
      </c>
      <c r="F304" s="61">
        <v>218</v>
      </c>
      <c r="G304" s="67">
        <v>0</v>
      </c>
      <c r="H304" s="67">
        <f t="shared" si="32"/>
        <v>0</v>
      </c>
      <c r="I304" s="15">
        <v>36.418436600000007</v>
      </c>
      <c r="J304" s="15">
        <f t="shared" si="33"/>
        <v>7939.2191788000018</v>
      </c>
      <c r="K304" s="15">
        <f t="shared" si="34"/>
        <v>7939.2191788000018</v>
      </c>
      <c r="L304" s="43"/>
      <c r="M304" s="11"/>
    </row>
    <row r="305" spans="2:28" x14ac:dyDescent="0.2">
      <c r="B305" s="42">
        <f>IF(F305&lt;&gt;"",1+MAX($B$22:B304),"")</f>
        <v>167</v>
      </c>
      <c r="C305" s="112"/>
      <c r="D305" s="8" t="s">
        <v>310</v>
      </c>
      <c r="E305" s="21" t="s">
        <v>45</v>
      </c>
      <c r="F305" s="61">
        <f>F304-F306</f>
        <v>213.85185185185185</v>
      </c>
      <c r="G305" s="15">
        <v>42.576000000000001</v>
      </c>
      <c r="H305" s="15">
        <f t="shared" si="32"/>
        <v>9104.9564444444441</v>
      </c>
      <c r="I305" s="15">
        <v>19.362379400000002</v>
      </c>
      <c r="J305" s="15">
        <f t="shared" si="33"/>
        <v>4140.6806909481484</v>
      </c>
      <c r="K305" s="15">
        <f t="shared" si="34"/>
        <v>13245.637135392593</v>
      </c>
      <c r="L305" s="43"/>
    </row>
    <row r="306" spans="2:28" x14ac:dyDescent="0.2">
      <c r="B306" s="42">
        <f>IF(F306&lt;&gt;"",1+MAX($B$22:B305),"")</f>
        <v>168</v>
      </c>
      <c r="C306" s="112"/>
      <c r="D306" s="8" t="s">
        <v>59</v>
      </c>
      <c r="E306" s="21" t="s">
        <v>45</v>
      </c>
      <c r="F306" s="61">
        <f>112/27</f>
        <v>4.1481481481481479</v>
      </c>
      <c r="G306" s="67">
        <v>0</v>
      </c>
      <c r="H306" s="67">
        <f t="shared" si="32"/>
        <v>0</v>
      </c>
      <c r="I306" s="15">
        <v>9.9225490000000001</v>
      </c>
      <c r="J306" s="15">
        <f t="shared" si="33"/>
        <v>41.160203259259255</v>
      </c>
      <c r="K306" s="15">
        <f t="shared" si="34"/>
        <v>41.160203259259255</v>
      </c>
      <c r="L306" s="43"/>
      <c r="M306" s="11"/>
    </row>
    <row r="307" spans="2:28" x14ac:dyDescent="0.2">
      <c r="B307" s="42">
        <f>IF(F307&lt;&gt;"",1+MAX($B$22:B306),"")</f>
        <v>169</v>
      </c>
      <c r="C307" s="112"/>
      <c r="D307" s="8" t="s">
        <v>363</v>
      </c>
      <c r="E307" s="21" t="s">
        <v>364</v>
      </c>
      <c r="F307" s="61">
        <f>F306/60*3</f>
        <v>0.20740740740740737</v>
      </c>
      <c r="G307" s="67">
        <v>0</v>
      </c>
      <c r="H307" s="67">
        <f t="shared" si="32"/>
        <v>0</v>
      </c>
      <c r="I307" s="15">
        <v>130</v>
      </c>
      <c r="J307" s="15">
        <f t="shared" si="33"/>
        <v>26.962962962962958</v>
      </c>
      <c r="K307" s="15">
        <f t="shared" si="34"/>
        <v>26.962962962962958</v>
      </c>
      <c r="L307" s="43"/>
      <c r="M307" s="11"/>
    </row>
    <row r="308" spans="2:28" s="11" customFormat="1" x14ac:dyDescent="0.2">
      <c r="B308" s="42" t="str">
        <f>IF(F308&lt;&gt;"",1+MAX($B$22:B307),"")</f>
        <v/>
      </c>
      <c r="C308" s="46"/>
      <c r="D308" s="8"/>
      <c r="E308" s="21"/>
      <c r="F308" s="34"/>
      <c r="G308" s="15">
        <v>0</v>
      </c>
      <c r="H308" s="15">
        <f t="shared" si="32"/>
        <v>0</v>
      </c>
      <c r="I308" s="15">
        <v>0</v>
      </c>
      <c r="J308" s="15">
        <f t="shared" si="33"/>
        <v>0</v>
      </c>
      <c r="K308" s="15">
        <f t="shared" si="34"/>
        <v>0</v>
      </c>
      <c r="L308" s="43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</row>
    <row r="309" spans="2:28" s="11" customFormat="1" ht="12.75" customHeight="1" x14ac:dyDescent="0.2">
      <c r="B309" s="12" t="str">
        <f>IF(F309&lt;&gt;"",1+MAX($B$22:B292),"")</f>
        <v/>
      </c>
      <c r="C309" s="12" t="s">
        <v>202</v>
      </c>
      <c r="D309" s="6" t="s">
        <v>377</v>
      </c>
      <c r="E309" s="113" t="s">
        <v>34</v>
      </c>
      <c r="F309" s="113"/>
      <c r="G309" s="45">
        <f>SUM(H310:H316)</f>
        <v>0</v>
      </c>
      <c r="H309" s="7">
        <f t="shared" si="32"/>
        <v>0</v>
      </c>
      <c r="I309" s="45">
        <f>SUM(J310:J316)</f>
        <v>4306.753389379538</v>
      </c>
      <c r="J309" s="7">
        <f t="shared" si="33"/>
        <v>0</v>
      </c>
      <c r="K309" s="41">
        <f>SUM(K310:K316)</f>
        <v>4306.753389379538</v>
      </c>
      <c r="L309" s="41">
        <f>(K309)+(G309*$K$8)+(I309*$K$9)+(K309*$K$10)+($K$11*((K309)+(G309*$K$8)+(I309*$K$9)+(K309*$K$10)))+(K309*$K$12)</f>
        <v>6145.7370866446008</v>
      </c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</row>
    <row r="310" spans="2:28" x14ac:dyDescent="0.2">
      <c r="B310" s="42" t="str">
        <f>IF(F310&lt;&gt;"",1+MAX($B$22:B309),"")</f>
        <v/>
      </c>
      <c r="C310" s="46"/>
      <c r="D310" s="8"/>
      <c r="E310" s="21"/>
      <c r="F310" s="24"/>
      <c r="G310" s="15">
        <v>0</v>
      </c>
      <c r="H310" s="15">
        <f t="shared" si="32"/>
        <v>0</v>
      </c>
      <c r="I310" s="15">
        <v>0</v>
      </c>
      <c r="J310" s="15">
        <f t="shared" si="33"/>
        <v>0</v>
      </c>
      <c r="K310" s="15">
        <f t="shared" ref="K310:K316" si="35">H310+J310</f>
        <v>0</v>
      </c>
      <c r="L310" s="43"/>
      <c r="M310" s="11"/>
    </row>
    <row r="311" spans="2:28" x14ac:dyDescent="0.2">
      <c r="B311" s="57" t="str">
        <f>IF(F311&lt;&gt;"",1+MAX($B$22:B310),"")</f>
        <v/>
      </c>
      <c r="C311" s="58"/>
      <c r="D311" s="59" t="s">
        <v>378</v>
      </c>
      <c r="E311" s="21"/>
      <c r="F311" s="34"/>
      <c r="G311" s="15">
        <v>0</v>
      </c>
      <c r="H311" s="15">
        <f t="shared" si="32"/>
        <v>0</v>
      </c>
      <c r="I311" s="15">
        <v>0</v>
      </c>
      <c r="J311" s="15">
        <f t="shared" si="33"/>
        <v>0</v>
      </c>
      <c r="K311" s="15">
        <f t="shared" si="35"/>
        <v>0</v>
      </c>
      <c r="L311" s="43"/>
    </row>
    <row r="312" spans="2:28" s="11" customFormat="1" x14ac:dyDescent="0.2">
      <c r="B312" s="42">
        <f>IF(F312&lt;&gt;"",1+MAX($B$22:B309),"")</f>
        <v>170</v>
      </c>
      <c r="C312" s="46"/>
      <c r="D312" s="8" t="s">
        <v>240</v>
      </c>
      <c r="E312" s="21" t="s">
        <v>45</v>
      </c>
      <c r="F312" s="61">
        <f>(6*6*4.5)*13/27</f>
        <v>78</v>
      </c>
      <c r="G312" s="67">
        <v>0</v>
      </c>
      <c r="H312" s="67">
        <f t="shared" ref="H312:H315" si="36">F312*G312</f>
        <v>0</v>
      </c>
      <c r="I312" s="15">
        <v>36.418436600000007</v>
      </c>
      <c r="J312" s="15">
        <f t="shared" ref="J312:J315" si="37">F312*I312</f>
        <v>2840.6380548000006</v>
      </c>
      <c r="K312" s="15">
        <f t="shared" si="35"/>
        <v>2840.6380548000006</v>
      </c>
      <c r="L312" s="43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</row>
    <row r="313" spans="2:28" x14ac:dyDescent="0.2">
      <c r="B313" s="42">
        <f>IF(F313&lt;&gt;"",1+MAX($B$22:B312),"")</f>
        <v>171</v>
      </c>
      <c r="C313" s="112" t="s">
        <v>236</v>
      </c>
      <c r="D313" s="8" t="s">
        <v>241</v>
      </c>
      <c r="E313" s="21" t="s">
        <v>45</v>
      </c>
      <c r="F313" s="61">
        <f>F312-F314</f>
        <v>62.982038888888887</v>
      </c>
      <c r="G313" s="67">
        <v>0</v>
      </c>
      <c r="H313" s="67">
        <f t="shared" si="36"/>
        <v>0</v>
      </c>
      <c r="I313" s="15">
        <v>19.362379400000002</v>
      </c>
      <c r="J313" s="15">
        <f t="shared" si="37"/>
        <v>1219.4821323522212</v>
      </c>
      <c r="K313" s="15">
        <f t="shared" si="35"/>
        <v>1219.4821323522212</v>
      </c>
      <c r="L313" s="43"/>
    </row>
    <row r="314" spans="2:28" s="11" customFormat="1" x14ac:dyDescent="0.2">
      <c r="B314" s="42">
        <f>IF(F314&lt;&gt;"",1+MAX($B$22:B311),"")</f>
        <v>170</v>
      </c>
      <c r="C314" s="112"/>
      <c r="D314" s="8" t="s">
        <v>242</v>
      </c>
      <c r="E314" s="21" t="s">
        <v>45</v>
      </c>
      <c r="F314" s="61">
        <f>(1*5*5+1.33*1.33*3.5)*13/27</f>
        <v>15.017961111111113</v>
      </c>
      <c r="G314" s="67">
        <v>0</v>
      </c>
      <c r="H314" s="67">
        <f t="shared" si="36"/>
        <v>0</v>
      </c>
      <c r="I314" s="15">
        <v>9.9225490000000001</v>
      </c>
      <c r="J314" s="15">
        <f t="shared" si="37"/>
        <v>149.01645500509446</v>
      </c>
      <c r="K314" s="15">
        <f t="shared" si="35"/>
        <v>149.01645500509446</v>
      </c>
      <c r="L314" s="43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</row>
    <row r="315" spans="2:28" x14ac:dyDescent="0.2">
      <c r="B315" s="42">
        <f>IF(F315&lt;&gt;"",1+MAX($B$22:B314),"")</f>
        <v>172</v>
      </c>
      <c r="C315" s="112"/>
      <c r="D315" s="8" t="s">
        <v>363</v>
      </c>
      <c r="E315" s="21" t="s">
        <v>364</v>
      </c>
      <c r="F315" s="61">
        <f>F314/60*3</f>
        <v>0.75089805555555555</v>
      </c>
      <c r="G315" s="67">
        <v>0</v>
      </c>
      <c r="H315" s="67">
        <f t="shared" si="36"/>
        <v>0</v>
      </c>
      <c r="I315" s="15">
        <v>130</v>
      </c>
      <c r="J315" s="15">
        <f t="shared" si="37"/>
        <v>97.616747222222216</v>
      </c>
      <c r="K315" s="15">
        <f t="shared" si="35"/>
        <v>97.616747222222216</v>
      </c>
      <c r="L315" s="43"/>
    </row>
    <row r="316" spans="2:28" s="11" customFormat="1" x14ac:dyDescent="0.2">
      <c r="B316" s="42" t="str">
        <f>IF(F316&lt;&gt;"",1+MAX($B$22:B165),"")</f>
        <v/>
      </c>
      <c r="C316" s="46"/>
      <c r="D316" s="8"/>
      <c r="E316" s="21"/>
      <c r="F316" s="34"/>
      <c r="G316" s="15">
        <v>0</v>
      </c>
      <c r="H316" s="15">
        <f t="shared" si="32"/>
        <v>0</v>
      </c>
      <c r="I316" s="15">
        <v>0</v>
      </c>
      <c r="J316" s="15">
        <f t="shared" si="33"/>
        <v>0</v>
      </c>
      <c r="K316" s="15">
        <f t="shared" si="35"/>
        <v>0</v>
      </c>
      <c r="L316" s="43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</row>
    <row r="317" spans="2:28" s="11" customFormat="1" ht="12.75" customHeight="1" x14ac:dyDescent="0.2">
      <c r="B317" s="12" t="str">
        <f>IF(F317&lt;&gt;"",1+MAX($B$22:B300),"")</f>
        <v/>
      </c>
      <c r="C317" s="12" t="s">
        <v>373</v>
      </c>
      <c r="D317" s="6" t="s">
        <v>374</v>
      </c>
      <c r="E317" s="113" t="s">
        <v>34</v>
      </c>
      <c r="F317" s="113"/>
      <c r="G317" s="45">
        <f>SUM(H318:H324)</f>
        <v>56743.163999999997</v>
      </c>
      <c r="H317" s="7">
        <f t="shared" ref="H317:H329" si="38">F317*G317</f>
        <v>0</v>
      </c>
      <c r="I317" s="45">
        <f>SUM(J318:J324)</f>
        <v>36942.830899519999</v>
      </c>
      <c r="J317" s="7">
        <f t="shared" ref="J317:J329" si="39">F317*I317</f>
        <v>0</v>
      </c>
      <c r="K317" s="41">
        <f>SUM(K318:K324)</f>
        <v>93685.994899519996</v>
      </c>
      <c r="L317" s="41">
        <f>(K317)+(G317*$K$8)+(I317*$K$9)+(K317*$K$10)+($K$11*((K317)+(G317*$K$8)+(I317*$K$9)+(K317*$K$10)))+(K317*$K$12)</f>
        <v>131519.48869861505</v>
      </c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</row>
    <row r="318" spans="2:28" x14ac:dyDescent="0.2">
      <c r="B318" s="42" t="str">
        <f>IF(F318&lt;&gt;"",1+MAX($B$22:B317),"")</f>
        <v/>
      </c>
      <c r="C318" s="46"/>
      <c r="D318" s="8"/>
      <c r="E318" s="21"/>
      <c r="F318" s="24"/>
      <c r="G318" s="15">
        <v>0</v>
      </c>
      <c r="H318" s="15">
        <f t="shared" si="38"/>
        <v>0</v>
      </c>
      <c r="I318" s="15">
        <v>0</v>
      </c>
      <c r="J318" s="15">
        <f t="shared" si="39"/>
        <v>0</v>
      </c>
      <c r="K318" s="15">
        <f t="shared" ref="K318:K324" si="40">H318+J318</f>
        <v>0</v>
      </c>
      <c r="L318" s="43"/>
      <c r="M318" s="11"/>
    </row>
    <row r="319" spans="2:28" x14ac:dyDescent="0.2">
      <c r="B319" s="57" t="str">
        <f>IF(F319&lt;&gt;"",1+MAX($B$22:B318),"")</f>
        <v/>
      </c>
      <c r="C319" s="58"/>
      <c r="D319" s="59" t="s">
        <v>203</v>
      </c>
      <c r="E319" s="21"/>
      <c r="F319" s="34"/>
      <c r="G319" s="15">
        <v>0</v>
      </c>
      <c r="H319" s="15">
        <f t="shared" si="38"/>
        <v>0</v>
      </c>
      <c r="I319" s="15">
        <v>0</v>
      </c>
      <c r="J319" s="15">
        <f t="shared" si="39"/>
        <v>0</v>
      </c>
      <c r="K319" s="15">
        <f t="shared" si="40"/>
        <v>0</v>
      </c>
      <c r="L319" s="43"/>
    </row>
    <row r="320" spans="2:28" x14ac:dyDescent="0.2">
      <c r="B320" s="42">
        <f>IF(F320&lt;&gt;"",1+MAX($B$22:B319),"")</f>
        <v>173</v>
      </c>
      <c r="C320" s="46" t="s">
        <v>211</v>
      </c>
      <c r="D320" s="8" t="s">
        <v>206</v>
      </c>
      <c r="E320" s="21" t="s">
        <v>46</v>
      </c>
      <c r="F320" s="60">
        <v>-7108</v>
      </c>
      <c r="G320" s="15">
        <v>8.9587000000000003</v>
      </c>
      <c r="H320" s="15">
        <f t="shared" si="38"/>
        <v>-63678.439600000005</v>
      </c>
      <c r="I320" s="15">
        <v>7.3026189600000002</v>
      </c>
      <c r="J320" s="15">
        <f t="shared" si="39"/>
        <v>-51907.015567679999</v>
      </c>
      <c r="K320" s="15">
        <f t="shared" si="40"/>
        <v>-115585.45516768</v>
      </c>
      <c r="L320" s="43"/>
    </row>
    <row r="321" spans="2:28" s="11" customFormat="1" x14ac:dyDescent="0.2">
      <c r="B321" s="42" t="str">
        <f>IF(F321&lt;&gt;"",1+MAX($B$22:B320),"")</f>
        <v/>
      </c>
      <c r="C321" s="46"/>
      <c r="D321" s="8"/>
      <c r="E321" s="21"/>
      <c r="F321" s="34"/>
      <c r="G321" s="15">
        <v>0</v>
      </c>
      <c r="H321" s="15">
        <f t="shared" si="38"/>
        <v>0</v>
      </c>
      <c r="I321" s="15">
        <v>0</v>
      </c>
      <c r="J321" s="15">
        <f t="shared" si="39"/>
        <v>0</v>
      </c>
      <c r="K321" s="15">
        <f t="shared" si="40"/>
        <v>0</v>
      </c>
      <c r="L321" s="43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</row>
    <row r="322" spans="2:28" x14ac:dyDescent="0.2">
      <c r="B322" s="57" t="str">
        <f>IF(F322&lt;&gt;"",1+MAX($B$22:B321),"")</f>
        <v/>
      </c>
      <c r="C322" s="58"/>
      <c r="D322" s="59" t="s">
        <v>204</v>
      </c>
      <c r="E322" s="21"/>
      <c r="F322" s="34"/>
      <c r="G322" s="15">
        <v>0</v>
      </c>
      <c r="H322" s="15">
        <f t="shared" si="38"/>
        <v>0</v>
      </c>
      <c r="I322" s="15">
        <v>0</v>
      </c>
      <c r="J322" s="15">
        <f t="shared" si="39"/>
        <v>0</v>
      </c>
      <c r="K322" s="15">
        <f t="shared" si="40"/>
        <v>0</v>
      </c>
      <c r="L322" s="43"/>
    </row>
    <row r="323" spans="2:28" ht="25.5" x14ac:dyDescent="0.2">
      <c r="B323" s="42">
        <f>IF(F323&lt;&gt;"",1+MAX($B$22:B322),"")</f>
        <v>174</v>
      </c>
      <c r="C323" s="46" t="s">
        <v>211</v>
      </c>
      <c r="D323" s="8" t="s">
        <v>205</v>
      </c>
      <c r="E323" s="21" t="s">
        <v>46</v>
      </c>
      <c r="F323" s="60">
        <v>7108</v>
      </c>
      <c r="G323" s="15">
        <v>16.941700000000001</v>
      </c>
      <c r="H323" s="15">
        <f t="shared" si="38"/>
        <v>120421.6036</v>
      </c>
      <c r="I323" s="15">
        <v>12.4999784</v>
      </c>
      <c r="J323" s="15">
        <f t="shared" si="39"/>
        <v>88849.846467199997</v>
      </c>
      <c r="K323" s="15">
        <f t="shared" si="40"/>
        <v>209271.4500672</v>
      </c>
      <c r="L323" s="43"/>
    </row>
    <row r="324" spans="2:28" s="11" customFormat="1" x14ac:dyDescent="0.2">
      <c r="B324" s="42" t="str">
        <f>IF(F324&lt;&gt;"",1+MAX($B$22:B173),"")</f>
        <v/>
      </c>
      <c r="C324" s="46"/>
      <c r="D324" s="8"/>
      <c r="E324" s="21"/>
      <c r="F324" s="34"/>
      <c r="G324" s="15">
        <v>0</v>
      </c>
      <c r="H324" s="15">
        <f t="shared" si="38"/>
        <v>0</v>
      </c>
      <c r="I324" s="15">
        <v>0</v>
      </c>
      <c r="J324" s="15">
        <f t="shared" si="39"/>
        <v>0</v>
      </c>
      <c r="K324" s="15">
        <f t="shared" si="40"/>
        <v>0</v>
      </c>
      <c r="L324" s="43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</row>
    <row r="325" spans="2:28" s="11" customFormat="1" ht="12.75" customHeight="1" x14ac:dyDescent="0.2">
      <c r="B325" s="12" t="str">
        <f>IF(F325&lt;&gt;"",1+MAX($B$22:B303),"")</f>
        <v/>
      </c>
      <c r="C325" s="12" t="s">
        <v>375</v>
      </c>
      <c r="D325" s="6" t="s">
        <v>376</v>
      </c>
      <c r="E325" s="113" t="s">
        <v>34</v>
      </c>
      <c r="F325" s="113"/>
      <c r="G325" s="45">
        <f>SUM(H326:H329)</f>
        <v>2971.45</v>
      </c>
      <c r="H325" s="7">
        <f t="shared" si="38"/>
        <v>0</v>
      </c>
      <c r="I325" s="45">
        <f>SUM(J326:J329)</f>
        <v>4331.6000000000004</v>
      </c>
      <c r="J325" s="7">
        <f t="shared" si="39"/>
        <v>0</v>
      </c>
      <c r="K325" s="41">
        <f>SUM(K326:K329)</f>
        <v>7303.05</v>
      </c>
      <c r="L325" s="41">
        <f>(K325)+(G325*$K$8)+(I325*$K$9)+(K325*$K$10)+($K$11*((K325)+(G325*$K$8)+(I325*$K$9)+(K325*$K$10)))+(K325*$K$12)</f>
        <v>10307.7943875</v>
      </c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</row>
    <row r="326" spans="2:28" x14ac:dyDescent="0.2">
      <c r="B326" s="42" t="str">
        <f>IF(F326&lt;&gt;"",1+MAX($B$22:B325),"")</f>
        <v/>
      </c>
      <c r="C326" s="46"/>
      <c r="D326" s="8"/>
      <c r="E326" s="21"/>
      <c r="F326" s="24"/>
      <c r="G326" s="15">
        <v>0</v>
      </c>
      <c r="H326" s="15">
        <f t="shared" si="38"/>
        <v>0</v>
      </c>
      <c r="I326" s="15">
        <v>0</v>
      </c>
      <c r="J326" s="15">
        <f t="shared" si="39"/>
        <v>0</v>
      </c>
      <c r="K326" s="15">
        <f t="shared" ref="K326:K329" si="41">H326+J326</f>
        <v>0</v>
      </c>
      <c r="L326" s="43"/>
      <c r="M326" s="11"/>
    </row>
    <row r="327" spans="2:28" x14ac:dyDescent="0.2">
      <c r="B327" s="57" t="str">
        <f>IF(F327&lt;&gt;"",1+MAX($B$22:B325),"")</f>
        <v/>
      </c>
      <c r="C327" s="58"/>
      <c r="D327" s="59" t="s">
        <v>134</v>
      </c>
      <c r="E327" s="21"/>
      <c r="F327" s="34"/>
      <c r="G327" s="15">
        <v>0</v>
      </c>
      <c r="H327" s="15">
        <f t="shared" si="38"/>
        <v>0</v>
      </c>
      <c r="I327" s="15">
        <v>0</v>
      </c>
      <c r="J327" s="15">
        <f t="shared" si="39"/>
        <v>0</v>
      </c>
      <c r="K327" s="15">
        <f t="shared" si="41"/>
        <v>0</v>
      </c>
      <c r="L327" s="43"/>
    </row>
    <row r="328" spans="2:28" x14ac:dyDescent="0.2">
      <c r="B328" s="42">
        <f>IF(F328&lt;&gt;"",1+MAX($B$22:B327),"")</f>
        <v>175</v>
      </c>
      <c r="C328" s="46" t="s">
        <v>211</v>
      </c>
      <c r="D328" s="8" t="s">
        <v>134</v>
      </c>
      <c r="E328" s="46" t="s">
        <v>47</v>
      </c>
      <c r="F328" s="34">
        <v>1</v>
      </c>
      <c r="G328" s="15">
        <v>2971.45</v>
      </c>
      <c r="H328" s="15">
        <f t="shared" si="38"/>
        <v>2971.45</v>
      </c>
      <c r="I328" s="15">
        <v>4331.6000000000004</v>
      </c>
      <c r="J328" s="15">
        <f t="shared" si="39"/>
        <v>4331.6000000000004</v>
      </c>
      <c r="K328" s="15">
        <f t="shared" si="41"/>
        <v>7303.05</v>
      </c>
      <c r="L328" s="43"/>
    </row>
    <row r="329" spans="2:28" s="11" customFormat="1" x14ac:dyDescent="0.2">
      <c r="B329" s="42" t="str">
        <f>IF(F329&lt;&gt;"",1+MAX($B$22:B176),"")</f>
        <v/>
      </c>
      <c r="C329" s="46"/>
      <c r="D329" s="8"/>
      <c r="E329" s="21"/>
      <c r="F329" s="34"/>
      <c r="G329" s="15">
        <v>0</v>
      </c>
      <c r="H329" s="15">
        <f t="shared" si="38"/>
        <v>0</v>
      </c>
      <c r="I329" s="15">
        <v>0</v>
      </c>
      <c r="J329" s="15">
        <f t="shared" si="39"/>
        <v>0</v>
      </c>
      <c r="K329" s="15">
        <f t="shared" si="41"/>
        <v>0</v>
      </c>
      <c r="L329" s="43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</row>
    <row r="330" spans="2:28" s="11" customFormat="1" ht="12.75" customHeight="1" x14ac:dyDescent="0.2">
      <c r="B330" s="12" t="str">
        <f>IF(F330&lt;&gt;"",1+MAX($B$22:B308),"")</f>
        <v/>
      </c>
      <c r="C330" s="12" t="s">
        <v>445</v>
      </c>
      <c r="D330" s="6" t="s">
        <v>446</v>
      </c>
      <c r="E330" s="113" t="s">
        <v>34</v>
      </c>
      <c r="F330" s="113"/>
      <c r="G330" s="45">
        <f>SUM(H331:H338)</f>
        <v>0</v>
      </c>
      <c r="H330" s="7">
        <f t="shared" si="32"/>
        <v>0</v>
      </c>
      <c r="I330" s="45">
        <f>SUM(J331:J338)</f>
        <v>0</v>
      </c>
      <c r="J330" s="7">
        <f t="shared" si="33"/>
        <v>0</v>
      </c>
      <c r="K330" s="41">
        <f>SUM(K331:K338)</f>
        <v>0</v>
      </c>
      <c r="L330" s="41">
        <f>(K330)+(G330*$K$8)+(I330*$K$9)+(K330*$K$10)+($K$11*((K330)+(G330*$K$8)+(I330*$K$9)+(K330*$K$10)))+(K330*$K$12)</f>
        <v>0</v>
      </c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</row>
    <row r="331" spans="2:28" x14ac:dyDescent="0.2">
      <c r="B331" s="42" t="str">
        <f>IF(F331&lt;&gt;"",1+MAX($B$22:B330),"")</f>
        <v/>
      </c>
      <c r="C331" s="46"/>
      <c r="D331" s="8"/>
      <c r="E331" s="21"/>
      <c r="F331" s="24"/>
      <c r="G331" s="15">
        <v>0</v>
      </c>
      <c r="H331" s="15">
        <f t="shared" si="32"/>
        <v>0</v>
      </c>
      <c r="I331" s="15">
        <v>0</v>
      </c>
      <c r="J331" s="15">
        <f t="shared" si="33"/>
        <v>0</v>
      </c>
      <c r="K331" s="15">
        <f t="shared" ref="K331:K338" si="42">H331+J331</f>
        <v>0</v>
      </c>
      <c r="L331" s="43"/>
      <c r="M331" s="11"/>
    </row>
    <row r="332" spans="2:28" x14ac:dyDescent="0.2">
      <c r="B332" s="57" t="str">
        <f>IF(F332&lt;&gt;"",1+MAX($B$22:B326),"")</f>
        <v/>
      </c>
      <c r="C332" s="58"/>
      <c r="D332" s="59" t="s">
        <v>455</v>
      </c>
      <c r="E332" s="21"/>
      <c r="F332" s="34"/>
      <c r="G332" s="15">
        <v>0</v>
      </c>
      <c r="H332" s="15">
        <f t="shared" si="32"/>
        <v>0</v>
      </c>
      <c r="I332" s="15">
        <v>0</v>
      </c>
      <c r="J332" s="15">
        <f t="shared" si="33"/>
        <v>0</v>
      </c>
      <c r="K332" s="15">
        <f t="shared" ref="K332:K334" si="43">H332+J332</f>
        <v>0</v>
      </c>
      <c r="L332" s="43"/>
    </row>
    <row r="333" spans="2:28" x14ac:dyDescent="0.2">
      <c r="B333" s="71">
        <f>IF(F333&lt;&gt;"",1+MAX($B$22:B327),"")</f>
        <v>175</v>
      </c>
      <c r="C333" s="74" t="s">
        <v>447</v>
      </c>
      <c r="D333" s="8" t="s">
        <v>449</v>
      </c>
      <c r="E333" s="46" t="s">
        <v>44</v>
      </c>
      <c r="F333" s="34">
        <f>38203-(3.14*3*3*200)</f>
        <v>32551</v>
      </c>
      <c r="G333" s="15"/>
      <c r="H333" s="15">
        <f t="shared" si="32"/>
        <v>0</v>
      </c>
      <c r="I333" s="15"/>
      <c r="J333" s="15">
        <f t="shared" si="33"/>
        <v>0</v>
      </c>
      <c r="K333" s="15">
        <f t="shared" si="43"/>
        <v>0</v>
      </c>
      <c r="L333" s="43"/>
    </row>
    <row r="334" spans="2:28" s="11" customFormat="1" x14ac:dyDescent="0.2">
      <c r="B334" s="42" t="str">
        <f>IF(F334&lt;&gt;"",1+MAX($B$22:B177),"")</f>
        <v/>
      </c>
      <c r="C334" s="46"/>
      <c r="D334" s="8"/>
      <c r="E334" s="21"/>
      <c r="F334" s="34"/>
      <c r="G334" s="15">
        <v>0</v>
      </c>
      <c r="H334" s="15">
        <f t="shared" ref="H334" si="44">F334*G334</f>
        <v>0</v>
      </c>
      <c r="I334" s="15">
        <v>0</v>
      </c>
      <c r="J334" s="15">
        <f t="shared" ref="J334" si="45">F334*I334</f>
        <v>0</v>
      </c>
      <c r="K334" s="15">
        <f t="shared" si="43"/>
        <v>0</v>
      </c>
      <c r="L334" s="43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</row>
    <row r="335" spans="2:28" x14ac:dyDescent="0.2">
      <c r="B335" s="57" t="str">
        <f>IF(F335&lt;&gt;"",1+MAX($B$22:B330),"")</f>
        <v/>
      </c>
      <c r="C335" s="58"/>
      <c r="D335" s="59" t="s">
        <v>448</v>
      </c>
      <c r="E335" s="21"/>
      <c r="F335" s="34"/>
      <c r="G335" s="15">
        <v>0</v>
      </c>
      <c r="H335" s="15">
        <f t="shared" ref="H335" si="46">F335*G335</f>
        <v>0</v>
      </c>
      <c r="I335" s="15">
        <v>0</v>
      </c>
      <c r="J335" s="15">
        <f t="shared" ref="J335" si="47">F335*I335</f>
        <v>0</v>
      </c>
      <c r="K335" s="15">
        <f t="shared" si="42"/>
        <v>0</v>
      </c>
      <c r="L335" s="43"/>
    </row>
    <row r="336" spans="2:28" ht="51" x14ac:dyDescent="0.2">
      <c r="B336" s="71">
        <f>IF(F336&lt;&gt;"",1+MAX($B$22:B331),"")</f>
        <v>176</v>
      </c>
      <c r="C336" s="74" t="s">
        <v>447</v>
      </c>
      <c r="D336" s="8" t="s">
        <v>450</v>
      </c>
      <c r="E336" s="46" t="s">
        <v>45</v>
      </c>
      <c r="F336" s="34">
        <f>(3.14*3*3*2.5*257)/27</f>
        <v>672.48333333333335</v>
      </c>
      <c r="G336" s="15"/>
      <c r="H336" s="15">
        <f t="shared" ref="H336" si="48">F336*G336</f>
        <v>0</v>
      </c>
      <c r="I336" s="15"/>
      <c r="J336" s="15">
        <f t="shared" ref="J336" si="49">F336*I336</f>
        <v>0</v>
      </c>
      <c r="K336" s="15">
        <f t="shared" ref="K336" si="50">H336+J336</f>
        <v>0</v>
      </c>
      <c r="L336" s="43"/>
    </row>
    <row r="337" spans="2:28" x14ac:dyDescent="0.2">
      <c r="B337" s="42" t="str">
        <f>IF(F337&lt;&gt;"",1+MAX($B$22:B180),"")</f>
        <v/>
      </c>
      <c r="C337" s="74"/>
      <c r="D337" s="44" t="s">
        <v>451</v>
      </c>
      <c r="E337" s="46"/>
      <c r="F337" s="34"/>
      <c r="G337" s="15"/>
      <c r="H337" s="15"/>
      <c r="I337" s="15"/>
      <c r="J337" s="15"/>
      <c r="K337" s="15"/>
      <c r="L337" s="43"/>
    </row>
    <row r="338" spans="2:28" s="11" customFormat="1" x14ac:dyDescent="0.2">
      <c r="B338" s="42" t="str">
        <f>IF(F338&lt;&gt;"",1+MAX($B$22:B181),"")</f>
        <v/>
      </c>
      <c r="C338" s="46"/>
      <c r="D338" s="8"/>
      <c r="E338" s="21"/>
      <c r="F338" s="34"/>
      <c r="G338" s="15">
        <v>0</v>
      </c>
      <c r="H338" s="15">
        <f t="shared" si="32"/>
        <v>0</v>
      </c>
      <c r="I338" s="15">
        <v>0</v>
      </c>
      <c r="J338" s="15">
        <f t="shared" si="33"/>
        <v>0</v>
      </c>
      <c r="K338" s="15">
        <f t="shared" si="42"/>
        <v>0</v>
      </c>
      <c r="L338" s="43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</row>
  </sheetData>
  <mergeCells count="77">
    <mergeCell ref="E325:F325"/>
    <mergeCell ref="C222:C226"/>
    <mergeCell ref="C229:C233"/>
    <mergeCell ref="C313:C315"/>
    <mergeCell ref="C42:C44"/>
    <mergeCell ref="C67:C70"/>
    <mergeCell ref="C294:C295"/>
    <mergeCell ref="C268:C271"/>
    <mergeCell ref="C304:C307"/>
    <mergeCell ref="C298:C301"/>
    <mergeCell ref="C86:C93"/>
    <mergeCell ref="C96:C105"/>
    <mergeCell ref="C77:C83"/>
    <mergeCell ref="C47:C49"/>
    <mergeCell ref="C123:C138"/>
    <mergeCell ref="C202:C204"/>
    <mergeCell ref="E330:F330"/>
    <mergeCell ref="C38:C39"/>
    <mergeCell ref="C142:C143"/>
    <mergeCell ref="C167:C175"/>
    <mergeCell ref="C148:C164"/>
    <mergeCell ref="B287:L287"/>
    <mergeCell ref="B288:B289"/>
    <mergeCell ref="C288:C289"/>
    <mergeCell ref="D288:D289"/>
    <mergeCell ref="E288:E289"/>
    <mergeCell ref="F288:F289"/>
    <mergeCell ref="G288:H288"/>
    <mergeCell ref="I288:J288"/>
    <mergeCell ref="C243:C250"/>
    <mergeCell ref="K288:K289"/>
    <mergeCell ref="C257:C265"/>
    <mergeCell ref="L288:L289"/>
    <mergeCell ref="E28:F28"/>
    <mergeCell ref="E21:F21"/>
    <mergeCell ref="E219:F219"/>
    <mergeCell ref="H10:J10"/>
    <mergeCell ref="H12:J12"/>
    <mergeCell ref="H13:J13"/>
    <mergeCell ref="H14:J14"/>
    <mergeCell ref="E16:H17"/>
    <mergeCell ref="G18:H18"/>
    <mergeCell ref="I18:J18"/>
    <mergeCell ref="K18:K19"/>
    <mergeCell ref="L18:L19"/>
    <mergeCell ref="E18:E19"/>
    <mergeCell ref="F18:F19"/>
    <mergeCell ref="I16:L17"/>
    <mergeCell ref="B15:C15"/>
    <mergeCell ref="E15:H15"/>
    <mergeCell ref="H11:J11"/>
    <mergeCell ref="H5:J5"/>
    <mergeCell ref="H6:J6"/>
    <mergeCell ref="H7:J7"/>
    <mergeCell ref="H8:J8"/>
    <mergeCell ref="H9:J9"/>
    <mergeCell ref="B2:L2"/>
    <mergeCell ref="B3:G3"/>
    <mergeCell ref="H3:L3"/>
    <mergeCell ref="B4:G4"/>
    <mergeCell ref="H4:L4"/>
    <mergeCell ref="E317:F317"/>
    <mergeCell ref="E309:F309"/>
    <mergeCell ref="B16:C17"/>
    <mergeCell ref="D16:D17"/>
    <mergeCell ref="B18:B19"/>
    <mergeCell ref="C18:C19"/>
    <mergeCell ref="D18:D19"/>
    <mergeCell ref="C114:C117"/>
    <mergeCell ref="C274:C277"/>
    <mergeCell ref="C280:C285"/>
    <mergeCell ref="C31:C32"/>
    <mergeCell ref="C52:C62"/>
    <mergeCell ref="C236:C240"/>
    <mergeCell ref="C178:C186"/>
    <mergeCell ref="C192:C199"/>
    <mergeCell ref="E291:F291"/>
  </mergeCells>
  <printOptions horizontalCentered="1"/>
  <pageMargins left="0.25" right="0.25" top="0.375" bottom="0.375" header="0.25" footer="0.25"/>
  <pageSetup paperSize="9" scale="80" fitToHeight="0" orientation="landscape" horizontalDpi="300" verticalDpi="300" r:id="rId1"/>
  <headerFooter alignWithMargins="0">
    <oddFooter>&amp;R&amp;"Arial,Bold"&amp;P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4B329677-87DE-4006-89A8-42AE23E7C71A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Summary</vt:lpstr>
      <vt:lpstr>Concrete</vt:lpstr>
      <vt:lpstr>Site work</vt:lpstr>
      <vt:lpstr>Concrete!Print_Area</vt:lpstr>
      <vt:lpstr>'Site work'!Print_Area</vt:lpstr>
      <vt:lpstr>Summary!Print_Area</vt:lpstr>
      <vt:lpstr>Concrete!Print_Titles</vt:lpstr>
      <vt:lpstr>'Site work'!Print_Titles</vt:lpstr>
      <vt:lpstr>Summary!Print_Titles</vt:lpstr>
    </vt:vector>
  </TitlesOfParts>
  <LinksUpToDate>false</LinksUpToDate>
  <SharedDoc>false</SharedDoc>
  <HyperlinkBase>www.4Clicks.com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Smith</dc:creator>
  <cp:lastModifiedBy>PC</cp:lastModifiedBy>
  <cp:lastPrinted>2021-03-26T10:51:37Z</cp:lastPrinted>
  <dcterms:created xsi:type="dcterms:W3CDTF">1998-02-12T14:30:11Z</dcterms:created>
  <dcterms:modified xsi:type="dcterms:W3CDTF">2024-04-17T20:07:05Z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{4B329677-87DE-4006-89A8-42AE23E7C71A}</vt:lpwstr>
  </property>
</Properties>
</file>